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3590" windowHeight="11640" tabRatio="60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'W2'!$A$54:$AR$75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'Diagram'!$B$1:$V$39</definedName>
    <definedName name="_xlnm.Print_Area" localSheetId="4">'W1'!$C$1:$AT$57</definedName>
    <definedName name="_xlnm.Print_Area" localSheetId="5">'W2'!$C$1:$AR$77</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'Definitions'!$13:$15</definedName>
    <definedName name="_xlnm.Print_Titles" localSheetId="3">'Diagram'!$1:$4</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<sst xmlns="http://schemas.openxmlformats.org/spreadsheetml/2006/main" count="1402" uniqueCount="633">
  <si>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</si>
  <si>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</si>
  <si>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</si>
  <si>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</si>
  <si>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</si>
  <si>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</si>
  <si>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</si>
  <si>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</si>
  <si>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</si>
  <si>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</si>
  <si>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</si>
  <si>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</si>
  <si>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</si>
  <si>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</si>
  <si>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</si>
  <si>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</si>
  <si>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</si>
  <si>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</si>
  <si>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</si>
  <si>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</si>
  <si>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</si>
  <si>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</si>
  <si>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</si>
  <si>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</si>
  <si>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</si>
  <si>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</si>
  <si>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</si>
  <si>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</si>
  <si>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</si>
  <si>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</si>
  <si>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</si>
  <si>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</si>
  <si>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</si>
  <si>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</si>
  <si>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</si>
  <si>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</si>
  <si>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</si>
  <si>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</si>
  <si>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</si>
  <si>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</si>
  <si>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</si>
  <si>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</si>
  <si>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</si>
  <si>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</si>
  <si>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</si>
  <si>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</si>
  <si>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</si>
  <si>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</si>
  <si>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</si>
  <si>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</si>
  <si>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Changes from the UNSD/UNEP Questionnaire 2010 on Environment Statistics:</t>
  </si>
  <si>
    <t>Data can also be viewed/edited for years 1990, 1995-2000. Select column G to column V, right-click, and select "Unhide".</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</si>
  <si>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</si>
  <si>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</si>
  <si>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</si>
  <si>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</si>
  <si>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</si>
  <si>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</si>
  <si>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</si>
  <si>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</si>
  <si>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</si>
  <si>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</si>
  <si>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</si>
  <si>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</si>
  <si>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</si>
  <si>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</si>
  <si>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</si>
  <si>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</si>
  <si>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</si>
  <si>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</si>
  <si>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</si>
  <si>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</si>
  <si>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</si>
  <si>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</si>
  <si>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</si>
  <si>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</si>
  <si>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</si>
  <si>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</si>
  <si>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</si>
  <si>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</si>
  <si>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</si>
  <si>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</si>
  <si>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</si>
  <si>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</si>
  <si>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</si>
  <si>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</si>
  <si>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</si>
  <si>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</si>
  <si>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</si>
  <si>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</si>
  <si>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</si>
  <si>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</si>
  <si>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</si>
  <si>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</si>
  <si>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</si>
  <si>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</si>
  <si>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</si>
  <si>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</si>
  <si>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</si>
  <si>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</si>
  <si>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</si>
  <si>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</si>
  <si>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</si>
  <si>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</si>
  <si>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</si>
  <si>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</si>
  <si>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</si>
  <si>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</si>
  <si>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</si>
  <si>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</si>
  <si>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</si>
  <si>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</si>
  <si>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</si>
  <si>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</si>
  <si>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</si>
  <si>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</si>
  <si>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</si>
  <si>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</si>
  <si>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</si>
  <si>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</si>
  <si>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</si>
  <si>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</si>
  <si>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</si>
  <si>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</si>
  <si>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</si>
  <si>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</si>
  <si>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</si>
  <si>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</si>
  <si>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</si>
  <si>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</si>
  <si>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</si>
  <si>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</si>
  <si>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</si>
  <si>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</si>
  <si>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</si>
  <si>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</si>
  <si>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</si>
  <si>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</si>
  <si>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</si>
  <si>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</si>
  <si>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</si>
  <si>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</si>
  <si>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</si>
  <si>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</si>
  <si>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</si>
  <si>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</si>
  <si>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</si>
  <si>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</si>
  <si>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</si>
  <si>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</si>
  <si>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</si>
  <si>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</si>
  <si>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</si>
  <si>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</si>
  <si>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</si>
  <si>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</si>
  <si>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</si>
  <si>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</si>
  <si>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</si>
  <si>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</si>
  <si>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</si>
  <si>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</si>
  <si>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</si>
  <si>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</si>
  <si>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</si>
  <si>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</si>
  <si>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</si>
  <si>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</si>
  <si>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</si>
  <si>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</si>
  <si>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</si>
  <si>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</si>
  <si>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</si>
  <si>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</si>
  <si>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</si>
  <si>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</si>
  <si>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</si>
  <si>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</si>
  <si>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</si>
  <si>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</si>
  <si>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</si>
  <si>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</si>
  <si>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</si>
  <si>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</si>
  <si>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</si>
  <si>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</si>
  <si>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</si>
  <si>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</si>
  <si>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</si>
  <si>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</si>
  <si>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</si>
  <si>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</si>
  <si>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</si>
  <si>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</si>
  <si>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</si>
  <si>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</si>
  <si>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</si>
  <si>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</si>
  <si>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</si>
  <si>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</si>
  <si>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</si>
  <si>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</si>
  <si>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</si>
  <si>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</si>
  <si>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</si>
  <si>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</si>
  <si>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</si>
  <si>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</si>
  <si>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</si>
  <si>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</si>
  <si>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</si>
  <si>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</si>
  <si>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</si>
  <si>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</si>
  <si>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</si>
  <si>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</si>
  <si>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</si>
  <si>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</si>
  <si>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</si>
  <si>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</si>
  <si>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 xml:space="preserve">by phone: Reena Shah at +1 (212) 963-4586, or Karen Cassamajor at +1 (212) 963-4561, or Marcus Newbury +1 (212) 963-0092 or Robin Carrington at +1 (212) 963-6234. </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</si>
  <si>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</si>
  <si>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QUESTIONNAIRE 2013 ON ENVIRONMENT STATISTICS</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</si>
  <si>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</si>
  <si>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</si>
  <si>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</si>
  <si>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</si>
  <si>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</si>
  <si>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</si>
  <si>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</si>
  <si>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</si>
  <si>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</si>
  <si>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</si>
  <si>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</si>
  <si>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</si>
  <si>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</si>
  <si>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</si>
  <si>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</si>
  <si>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</si>
  <si>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</si>
  <si>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</si>
  <si>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</si>
  <si>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</si>
  <si>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</si>
  <si>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</si>
  <si>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</si>
  <si>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</si>
  <si>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</si>
  <si>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</si>
  <si>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</si>
  <si>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</si>
  <si>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</si>
  <si>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</si>
  <si>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</si>
  <si>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</si>
  <si>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</si>
  <si>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</si>
  <si>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</si>
  <si>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</si>
  <si>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</si>
  <si>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</si>
  <si>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</si>
  <si>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</si>
  <si>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</si>
  <si>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</si>
  <si>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</si>
  <si>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</si>
  <si>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</si>
  <si>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</si>
  <si>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</si>
  <si>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</si>
  <si>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</si>
  <si>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</si>
  <si>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</si>
  <si>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</si>
  <si>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</si>
  <si>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</si>
  <si>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</si>
  <si>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</si>
  <si>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</si>
  <si>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</si>
  <si>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</si>
  <si>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</si>
  <si>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</si>
  <si>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</si>
  <si>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</si>
  <si>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</si>
  <si>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</si>
  <si>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</si>
  <si>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</si>
  <si>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</si>
  <si>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</si>
  <si>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</si>
  <si>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</si>
  <si>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</si>
  <si>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</si>
  <si>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</si>
  <si>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</si>
  <si>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</si>
  <si>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</si>
  <si>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</si>
  <si>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</si>
  <si>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</si>
  <si>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</si>
  <si>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W2 has been modified and renamed "Freshwater abstraction and use" (W2, W3 and W4 of the 2010 Questionnaire have been merged to create this table), which has the following consequences:</t>
  </si>
  <si>
    <t>The current Table W3 is the former Table W5 of the 2010 Questionnaire with slight modifications.</t>
  </si>
  <si>
    <t>The current Table W4 is a modified version of the former Table W6 of the 2010 Questionnaire and has been renamed "Wastewater generation and treatment".  It now includes the amount of wastewater generated and treated.</t>
  </si>
  <si>
    <t>The current Table W5 is the former Table W7 of the 2010 Questionnaire with slight modifications.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</si>
  <si>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</si>
  <si>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</si>
  <si>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</si>
  <si>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</si>
  <si>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</si>
  <si>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</si>
  <si>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</si>
  <si>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</si>
  <si>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</si>
  <si>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</si>
  <si>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</si>
  <si>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</si>
  <si>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</si>
  <si>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</si>
  <si>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</si>
  <si>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</si>
  <si>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</si>
  <si>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</si>
  <si>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</si>
  <si>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</si>
  <si>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</si>
  <si>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</si>
  <si>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</si>
  <si>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</si>
  <si>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</si>
  <si>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</si>
  <si>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</si>
  <si>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</si>
  <si>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</si>
  <si>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</si>
  <si>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</si>
  <si>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</si>
  <si>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</si>
  <si>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</si>
  <si>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</si>
  <si>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</si>
  <si>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</si>
  <si>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</si>
  <si>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</si>
  <si>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</si>
  <si>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</si>
  <si>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</si>
  <si>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</si>
  <si>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</si>
  <si>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</si>
  <si>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</si>
  <si>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</si>
  <si>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</si>
  <si>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</si>
  <si>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</si>
  <si>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</si>
  <si>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</si>
  <si>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</si>
  <si>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</si>
  <si>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</si>
  <si>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</si>
  <si>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</si>
  <si>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</si>
  <si>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</si>
  <si>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</si>
  <si>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</si>
  <si>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</si>
  <si>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</si>
  <si>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</si>
  <si>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</si>
  <si>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</si>
  <si>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</si>
  <si>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</si>
  <si>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</si>
  <si>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</si>
  <si>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</si>
  <si>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</si>
  <si>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</si>
  <si>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</si>
  <si>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</si>
  <si>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</si>
  <si>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</si>
  <si>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</si>
  <si>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</si>
  <si>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</si>
  <si>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</si>
  <si>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</si>
  <si>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</si>
  <si>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</si>
  <si>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</si>
  <si>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</si>
  <si>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</si>
  <si>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</si>
  <si>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</si>
  <si>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</si>
  <si>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</si>
  <si>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</si>
  <si>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</si>
  <si>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</si>
  <si>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</si>
  <si>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</si>
  <si>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</si>
  <si>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</si>
  <si>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</si>
  <si>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</si>
  <si>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</si>
  <si>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</si>
  <si>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</si>
  <si>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</si>
  <si>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</si>
  <si>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</si>
  <si>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</si>
  <si>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</si>
  <si>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</si>
  <si>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</si>
  <si>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</si>
  <si>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</si>
  <si>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</si>
  <si>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</si>
  <si>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</si>
  <si>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</si>
  <si>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</si>
  <si>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</si>
  <si>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</si>
  <si>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</si>
  <si>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</si>
  <si>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</si>
  <si>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</si>
  <si>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</si>
  <si>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</si>
  <si>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</si>
  <si>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</si>
  <si>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</si>
  <si>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</si>
  <si>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</si>
  <si>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</si>
  <si>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</si>
  <si>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</si>
  <si>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</si>
  <si>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</si>
  <si>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</si>
  <si>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</si>
  <si>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</si>
  <si>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</si>
  <si>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</si>
  <si>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</si>
  <si>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</si>
  <si>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</si>
  <si>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</si>
  <si>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</si>
  <si>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</si>
  <si>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</si>
  <si>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</si>
  <si>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</si>
  <si>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</si>
  <si>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</si>
  <si>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</si>
  <si>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</si>
  <si>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</si>
  <si>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</si>
  <si>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</si>
  <si>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</si>
  <si>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</si>
  <si>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</si>
  <si>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</si>
  <si>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</si>
  <si>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</si>
  <si>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</si>
  <si>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</si>
  <si>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</si>
  <si>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</si>
  <si>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</si>
  <si>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</si>
  <si>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</si>
  <si>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</si>
  <si>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</si>
  <si>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</si>
  <si>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</si>
  <si>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</si>
  <si>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</si>
  <si>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</si>
  <si>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</si>
  <si>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</si>
  <si>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</si>
  <si>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</si>
  <si>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</si>
  <si>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</si>
  <si>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</si>
  <si>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</si>
  <si>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</si>
  <si>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</si>
  <si>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</si>
  <si>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</si>
  <si>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</si>
  <si>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</si>
  <si>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</si>
  <si>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</si>
  <si>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</si>
  <si>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</si>
  <si>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</si>
  <si>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</si>
  <si>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</si>
  <si>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</si>
  <si>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</si>
  <si>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</si>
  <si>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</si>
  <si>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</si>
  <si>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</si>
  <si>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</si>
  <si>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</si>
  <si>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</si>
  <si>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</si>
  <si>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</si>
  <si>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</si>
  <si>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</si>
  <si>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</si>
  <si>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</si>
  <si>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</si>
  <si>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</si>
  <si>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</si>
  <si>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</si>
  <si>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</si>
  <si>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</si>
  <si>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</si>
  <si>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</si>
  <si>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</si>
  <si>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</si>
  <si>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</si>
  <si>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</si>
  <si>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</si>
  <si>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</si>
  <si>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</si>
  <si>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</si>
  <si>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</si>
  <si>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</si>
  <si>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</si>
  <si>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</si>
  <si>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</si>
  <si>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</si>
  <si>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 xml:space="preserve">Table W1: Renewable Freshwater Resources </t>
  </si>
  <si>
    <r>
      <t xml:space="preserve">       </t>
    </r>
    <r>
      <rPr>
        <i/>
        <sz val="8"/>
        <rFont val="Arial"/>
        <family val="2"/>
      </rPr>
      <t xml:space="preserve"> of which</t>
    </r>
    <r>
      <rPr>
        <sz val="8"/>
        <rFont val="Arial"/>
        <family val="2"/>
      </rPr>
      <t xml:space="preserve"> for irrigation in agriculture</t>
    </r>
  </si>
  <si>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</si>
  <si>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</si>
  <si>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</si>
  <si>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</si>
  <si>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</si>
  <si>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</si>
  <si>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</si>
  <si>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</si>
  <si>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</si>
  <si>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</si>
  <si>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</si>
  <si>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</si>
  <si>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</si>
  <si>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</si>
  <si>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</si>
  <si>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</si>
  <si>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</si>
  <si>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</si>
  <si>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</si>
  <si>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</si>
  <si>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</si>
  <si>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</si>
  <si>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</si>
  <si>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</si>
  <si>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</si>
  <si>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</si>
  <si>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</si>
  <si>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</si>
  <si>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</si>
  <si>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</si>
  <si>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</si>
  <si>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</si>
  <si>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</si>
  <si>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</si>
  <si>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</si>
  <si>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</si>
  <si>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</si>
  <si>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</si>
  <si>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</si>
  <si>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</si>
  <si>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</si>
  <si>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</si>
  <si>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</si>
  <si>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</si>
  <si>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</si>
  <si>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</si>
  <si>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</si>
  <si>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</si>
  <si>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</si>
  <si>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</si>
  <si>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</si>
  <si>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</si>
  <si>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</si>
  <si>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</si>
  <si>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</si>
  <si>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</si>
  <si>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</si>
  <si>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</si>
  <si>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</si>
  <si>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</si>
  <si>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</si>
  <si>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</si>
  <si>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</si>
  <si>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</si>
  <si>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</si>
  <si>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</si>
  <si>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</si>
  <si>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</si>
  <si>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</si>
  <si>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</si>
  <si>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</si>
  <si>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</si>
  <si>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</si>
  <si>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</si>
  <si>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</si>
  <si>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</si>
  <si>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</si>
  <si>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</si>
  <si>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</si>
  <si>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</si>
  <si>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</si>
  <si>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</si>
  <si>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</si>
  <si>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</si>
  <si>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</si>
  <si>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</si>
  <si>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Total freshwater available for use
 (=3+10+11+12-13)</t>
  </si>
  <si>
    <t>of which
used by</t>
  </si>
  <si>
    <t>Data can also be viewed/edited for years 1990, 1995-2000. Select column E to column T, right-click, and select "Unhide".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</si>
</sst>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hair"/>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color indexed="63"/>
      </top>
      <bottom style="thin"/>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9" fillId="28"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9" borderId="1" applyNumberFormat="0" applyAlignment="0" applyProtection="0"/>
    <xf numFmtId="0" fontId="94" fillId="0" borderId="6" applyNumberFormat="0" applyFill="0" applyAlignment="0" applyProtection="0"/>
    <xf numFmtId="0" fontId="95" fillId="30"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31" borderId="7" applyNumberFormat="0" applyFont="0" applyAlignment="0" applyProtection="0"/>
    <xf numFmtId="0" fontId="96" fillId="26"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880">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6"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 fillId="0" borderId="41" xfId="0" applyFont="1" applyFill="1" applyBorder="1" applyAlignment="1">
      <alignment vertical="top" wrapText="1"/>
    </xf>
    <xf numFmtId="0" fontId="3" fillId="0" borderId="30"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1" fillId="0" borderId="44" xfId="0" applyFont="1" applyFill="1" applyBorder="1" applyAlignment="1">
      <alignment vertical="top" wrapText="1"/>
    </xf>
    <xf numFmtId="0" fontId="3" fillId="0" borderId="0" xfId="0" applyFont="1" applyFill="1" applyAlignment="1">
      <alignment vertical="top"/>
    </xf>
    <xf numFmtId="0" fontId="3" fillId="0" borderId="38" xfId="0" applyFont="1" applyFill="1" applyBorder="1" applyAlignment="1">
      <alignment vertical="center"/>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top"/>
    </xf>
    <xf numFmtId="0" fontId="2" fillId="0" borderId="42" xfId="0" applyFont="1" applyFill="1" applyBorder="1" applyAlignment="1" applyProtection="1">
      <alignment vertical="top" wrapText="1"/>
      <protection/>
    </xf>
    <xf numFmtId="0" fontId="2" fillId="0" borderId="42" xfId="0" applyFont="1" applyFill="1" applyBorder="1" applyAlignment="1">
      <alignment vertical="top" wrapText="1"/>
    </xf>
    <xf numFmtId="0" fontId="2" fillId="0" borderId="42" xfId="0" applyNumberFormat="1" applyFont="1" applyFill="1" applyBorder="1" applyAlignment="1">
      <alignment vertical="top" wrapText="1"/>
    </xf>
    <xf numFmtId="0" fontId="3" fillId="0" borderId="41" xfId="0" applyFont="1" applyFill="1" applyBorder="1" applyAlignment="1">
      <alignment vertical="top" wrapText="1"/>
    </xf>
    <xf numFmtId="0" fontId="2" fillId="0" borderId="30" xfId="0" applyFont="1" applyFill="1" applyBorder="1" applyAlignment="1">
      <alignment vertical="top" wrapText="1"/>
    </xf>
    <xf numFmtId="0" fontId="5" fillId="0" borderId="42" xfId="0" applyFont="1" applyFill="1" applyBorder="1" applyAlignment="1">
      <alignment vertical="top" wrapText="1"/>
    </xf>
    <xf numFmtId="0" fontId="3" fillId="0" borderId="45" xfId="0" applyFont="1" applyFill="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2" fillId="0" borderId="50" xfId="0" applyFont="1" applyFill="1" applyBorder="1" applyAlignment="1" applyProtection="1">
      <alignment vertical="top" wrapText="1"/>
      <protection/>
    </xf>
    <xf numFmtId="0" fontId="2"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3" fillId="0" borderId="16" xfId="0" applyFont="1" applyFill="1" applyBorder="1" applyAlignment="1">
      <alignment vertical="top"/>
    </xf>
    <xf numFmtId="0" fontId="3" fillId="0" borderId="51" xfId="0" applyFont="1" applyFill="1" applyBorder="1" applyAlignment="1">
      <alignment vertical="top" wrapText="1"/>
    </xf>
    <xf numFmtId="0" fontId="2" fillId="0" borderId="52" xfId="0" applyNumberFormat="1" applyFont="1" applyFill="1" applyBorder="1" applyAlignment="1">
      <alignment vertical="top" wrapText="1"/>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3" xfId="0" applyNumberFormat="1" applyFont="1" applyFill="1" applyBorder="1" applyAlignment="1">
      <alignment vertical="top" wrapText="1"/>
    </xf>
    <xf numFmtId="0" fontId="3" fillId="0" borderId="54" xfId="0" applyFont="1" applyFill="1" applyBorder="1" applyAlignment="1">
      <alignment vertical="top" wrapText="1"/>
    </xf>
    <xf numFmtId="0" fontId="3" fillId="0" borderId="55" xfId="0" applyFont="1" applyFill="1" applyBorder="1" applyAlignment="1">
      <alignment vertical="top" wrapText="1"/>
    </xf>
    <xf numFmtId="0" fontId="32" fillId="35" borderId="56" xfId="0" applyFont="1" applyFill="1" applyBorder="1" applyAlignment="1" applyProtection="1">
      <alignment horizontal="center" vertical="center" wrapText="1"/>
      <protection locked="0"/>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3" xfId="58" applyFont="1" applyFill="1" applyBorder="1" applyAlignment="1" applyProtection="1">
      <alignment horizontal="center"/>
      <protection/>
    </xf>
    <xf numFmtId="0" fontId="65" fillId="37" borderId="43"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7" xfId="0" applyFont="1" applyFill="1" applyBorder="1" applyAlignment="1" applyProtection="1">
      <alignment horizontal="center" vertical="center" wrapText="1"/>
      <protection/>
    </xf>
    <xf numFmtId="0" fontId="5" fillId="35" borderId="57" xfId="0" applyFont="1" applyFill="1" applyBorder="1" applyAlignment="1" applyProtection="1">
      <alignment horizontal="center" vertical="center"/>
      <protection/>
    </xf>
    <xf numFmtId="0" fontId="34" fillId="35" borderId="57"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65" fillId="38" borderId="58" xfId="59" applyFont="1" applyFill="1" applyBorder="1" applyAlignment="1" applyProtection="1">
      <alignment horizontal="right" wrapText="1"/>
      <protection/>
    </xf>
    <xf numFmtId="0" fontId="65" fillId="38" borderId="58"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9" xfId="0" applyFont="1" applyFill="1" applyBorder="1" applyAlignment="1" applyProtection="1">
      <alignment horizontal="left" vertical="center" wrapText="1"/>
      <protection/>
    </xf>
    <xf numFmtId="0" fontId="9" fillId="35" borderId="59" xfId="0" applyFont="1" applyFill="1" applyBorder="1" applyAlignment="1" applyProtection="1">
      <alignment horizontal="center" vertical="center" wrapText="1"/>
      <protection/>
    </xf>
    <xf numFmtId="0" fontId="9" fillId="35" borderId="59"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6" xfId="0" applyFont="1" applyBorder="1" applyAlignment="1" applyProtection="1">
      <alignment horizontal="center" vertical="center"/>
      <protection/>
    </xf>
    <xf numFmtId="0" fontId="9" fillId="35" borderId="56" xfId="0" applyFont="1" applyFill="1" applyBorder="1" applyAlignment="1" applyProtection="1">
      <alignment horizontal="center" vertical="center"/>
      <protection/>
    </xf>
    <xf numFmtId="0" fontId="32" fillId="35" borderId="56" xfId="0" applyFont="1" applyFill="1" applyBorder="1" applyAlignment="1" applyProtection="1">
      <alignment horizontal="left" vertical="center" wrapText="1"/>
      <protection/>
    </xf>
    <xf numFmtId="0" fontId="15" fillId="0" borderId="31"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60"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0" fillId="35" borderId="29" xfId="0" applyFill="1" applyBorder="1" applyAlignment="1" applyProtection="1">
      <alignment/>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65" fillId="38" borderId="61" xfId="59" applyFont="1" applyFill="1" applyBorder="1" applyAlignment="1" applyProtection="1">
      <alignment horizontal="right" wrapText="1"/>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9" fillId="35" borderId="62" xfId="0" applyFont="1" applyFill="1" applyBorder="1" applyAlignment="1" applyProtection="1">
      <alignment horizontal="center" vertical="center"/>
      <protection/>
    </xf>
    <xf numFmtId="0" fontId="32" fillId="35" borderId="62" xfId="0" applyFont="1" applyFill="1" applyBorder="1" applyAlignment="1" applyProtection="1">
      <alignment horizontal="left" vertical="center" wrapText="1"/>
      <protection/>
    </xf>
    <xf numFmtId="0" fontId="9" fillId="35" borderId="62" xfId="0" applyFont="1" applyFill="1" applyBorder="1" applyAlignment="1" applyProtection="1">
      <alignment horizontal="center" vertical="center" wrapText="1"/>
      <protection/>
    </xf>
    <xf numFmtId="0" fontId="32" fillId="35" borderId="62" xfId="0" applyFont="1" applyFill="1" applyBorder="1" applyAlignment="1" applyProtection="1">
      <alignment horizontal="left" vertical="center" wrapText="1" indent="2"/>
      <protection/>
    </xf>
    <xf numFmtId="0" fontId="0" fillId="35" borderId="62" xfId="0" applyFont="1" applyFill="1" applyBorder="1" applyAlignment="1" applyProtection="1">
      <alignment/>
      <protection/>
    </xf>
    <xf numFmtId="0" fontId="0" fillId="35" borderId="63"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9"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6" xfId="0" applyFont="1" applyFill="1" applyBorder="1" applyAlignment="1" applyProtection="1">
      <alignment horizontal="left" vertical="center" indent="2"/>
      <protection/>
    </xf>
    <xf numFmtId="0" fontId="9" fillId="35" borderId="56" xfId="0" applyFont="1" applyFill="1" applyBorder="1" applyAlignment="1" applyProtection="1">
      <alignment horizontal="left" vertical="center" indent="2"/>
      <protection/>
    </xf>
    <xf numFmtId="0" fontId="15" fillId="35" borderId="56" xfId="0" applyFont="1" applyFill="1" applyBorder="1" applyAlignment="1" applyProtection="1">
      <alignment horizontal="left" vertical="center"/>
      <protection/>
    </xf>
    <xf numFmtId="0" fontId="9" fillId="35" borderId="56"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4" xfId="0" applyFont="1" applyFill="1" applyBorder="1" applyAlignment="1" applyProtection="1">
      <alignment/>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9" fillId="35" borderId="67"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6"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7"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9" xfId="0" applyFont="1" applyFill="1" applyBorder="1" applyAlignment="1" applyProtection="1">
      <alignment/>
      <protection/>
    </xf>
    <xf numFmtId="0" fontId="9" fillId="35" borderId="33" xfId="0" applyFont="1" applyFill="1" applyBorder="1" applyAlignment="1" applyProtection="1">
      <alignment/>
      <protection/>
    </xf>
    <xf numFmtId="0" fontId="9" fillId="35" borderId="70" xfId="0" applyFont="1" applyFill="1" applyBorder="1" applyAlignment="1" applyProtection="1">
      <alignment/>
      <protection/>
    </xf>
    <xf numFmtId="0" fontId="9" fillId="35" borderId="70"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6" xfId="0" applyFont="1" applyFill="1" applyBorder="1" applyAlignment="1" applyProtection="1">
      <alignment/>
      <protection/>
    </xf>
    <xf numFmtId="0" fontId="9" fillId="35" borderId="67" xfId="0" applyFont="1" applyFill="1" applyBorder="1" applyAlignment="1" applyProtection="1">
      <alignment/>
      <protection/>
    </xf>
    <xf numFmtId="0" fontId="9" fillId="35" borderId="67"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2"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3" xfId="0" applyFont="1" applyFill="1" applyBorder="1" applyAlignment="1" applyProtection="1">
      <alignment/>
      <protection/>
    </xf>
    <xf numFmtId="0" fontId="9" fillId="35" borderId="74" xfId="0" applyFont="1" applyFill="1" applyBorder="1" applyAlignment="1" applyProtection="1">
      <alignment/>
      <protection/>
    </xf>
    <xf numFmtId="0" fontId="9" fillId="35" borderId="29" xfId="0" applyFont="1" applyFill="1" applyBorder="1" applyAlignment="1" applyProtection="1">
      <alignment/>
      <protection/>
    </xf>
    <xf numFmtId="0" fontId="9" fillId="35" borderId="75"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77"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34" fillId="35"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32" fillId="0" borderId="0" xfId="0" applyNumberFormat="1" applyFont="1" applyFill="1" applyAlignment="1" applyProtection="1">
      <alignment horizontal="left" vertical="center"/>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39" fillId="0" borderId="0" xfId="0" applyFont="1" applyFill="1" applyAlignment="1" applyProtection="1">
      <alignment vertical="top" wrapText="1"/>
      <protection/>
    </xf>
    <xf numFmtId="0" fontId="53" fillId="35" borderId="29" xfId="0" applyFont="1" applyFill="1" applyBorder="1" applyAlignment="1" applyProtection="1">
      <alignment horizontal="right" vertical="center" wrapText="1"/>
      <protection/>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9" borderId="0" xfId="0" applyFont="1" applyFill="1" applyAlignment="1" applyProtection="1">
      <alignment/>
      <protection/>
    </xf>
    <xf numFmtId="0" fontId="10" fillId="35" borderId="32"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80"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2"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9" fillId="0" borderId="28" xfId="0" applyFont="1" applyFill="1" applyBorder="1" applyAlignment="1" applyProtection="1">
      <alignment horizontal="right"/>
      <protection locked="0"/>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2" xfId="0"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7" xfId="0" applyFont="1" applyBorder="1" applyAlignment="1" applyProtection="1">
      <alignment horizontal="left" wrapText="1"/>
      <protection locked="0"/>
    </xf>
    <xf numFmtId="0" fontId="2" fillId="0" borderId="35" xfId="0" applyFont="1" applyBorder="1" applyAlignment="1">
      <alignment horizontal="left" wrapText="1"/>
    </xf>
    <xf numFmtId="0" fontId="2" fillId="0" borderId="81"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35" borderId="56"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56" xfId="0" applyFont="1" applyFill="1" applyBorder="1" applyAlignment="1" applyProtection="1">
      <alignment horizontal="center" vertical="center"/>
      <protection locked="0"/>
    </xf>
    <xf numFmtId="1" fontId="9" fillId="0" borderId="28" xfId="0" applyNumberFormat="1" applyFont="1" applyFill="1" applyBorder="1" applyAlignment="1" applyProtection="1">
      <alignment horizontal="center" vertical="center"/>
      <protection locked="0"/>
    </xf>
    <xf numFmtId="0" fontId="2" fillId="0" borderId="82"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80"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3" fillId="0" borderId="64" xfId="0" applyFont="1" applyFill="1" applyBorder="1" applyAlignment="1">
      <alignment horizontal="left" vertical="center" wrapText="1" indent="3"/>
    </xf>
    <xf numFmtId="0" fontId="3" fillId="0" borderId="62" xfId="0" applyFont="1" applyFill="1" applyBorder="1" applyAlignment="1">
      <alignment horizontal="left" vertical="center" wrapText="1" indent="3"/>
    </xf>
    <xf numFmtId="0" fontId="3" fillId="0" borderId="63"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3"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center"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9" xfId="0" applyFont="1" applyFill="1" applyBorder="1" applyAlignment="1">
      <alignment horizontal="center" vertical="center" wrapText="1"/>
    </xf>
    <xf numFmtId="0" fontId="9" fillId="36" borderId="85" xfId="0" applyFont="1" applyFill="1" applyBorder="1" applyAlignment="1">
      <alignment horizontal="center" vertical="center" wrapText="1"/>
    </xf>
    <xf numFmtId="0" fontId="37" fillId="0" borderId="80"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3" fillId="36" borderId="89"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4"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9" fillId="36" borderId="64" xfId="0" applyFont="1" applyFill="1" applyBorder="1" applyAlignment="1">
      <alignment horizontal="center" vertical="center" wrapText="1"/>
    </xf>
    <xf numFmtId="0" fontId="9" fillId="36" borderId="63" xfId="0" applyFont="1" applyFill="1" applyBorder="1" applyAlignment="1">
      <alignment horizontal="center" vertical="center" wrapText="1"/>
    </xf>
    <xf numFmtId="0" fontId="9" fillId="36" borderId="64" xfId="0" applyFont="1" applyFill="1" applyBorder="1" applyAlignment="1">
      <alignment horizontal="center"/>
    </xf>
    <xf numFmtId="0" fontId="9" fillId="36" borderId="62" xfId="0" applyFont="1" applyFill="1" applyBorder="1" applyAlignment="1">
      <alignment horizontal="center"/>
    </xf>
    <xf numFmtId="0" fontId="9" fillId="36" borderId="63" xfId="0" applyFont="1" applyFill="1" applyBorder="1" applyAlignment="1">
      <alignment horizontal="center"/>
    </xf>
    <xf numFmtId="0" fontId="2" fillId="36" borderId="64"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4" xfId="0" applyFont="1" applyFill="1" applyBorder="1" applyAlignment="1" applyProtection="1">
      <alignment horizontal="center" vertical="center" wrapText="1"/>
      <protection/>
    </xf>
    <xf numFmtId="0" fontId="9" fillId="3" borderId="62" xfId="0" applyFont="1" applyFill="1" applyBorder="1" applyAlignment="1" applyProtection="1">
      <alignment horizontal="center" vertical="center" wrapText="1"/>
      <protection/>
    </xf>
    <xf numFmtId="0" fontId="9" fillId="3" borderId="63" xfId="0" applyFont="1" applyFill="1" applyBorder="1" applyAlignment="1" applyProtection="1">
      <alignment horizontal="center" vertical="center" wrapText="1"/>
      <protection/>
    </xf>
    <xf numFmtId="0" fontId="0" fillId="3" borderId="62" xfId="0" applyFont="1" applyFill="1" applyBorder="1" applyAlignment="1" applyProtection="1">
      <alignment horizontal="center" vertical="center" wrapText="1"/>
      <protection/>
    </xf>
    <xf numFmtId="0" fontId="0" fillId="3" borderId="63" xfId="0" applyFont="1" applyFill="1" applyBorder="1" applyAlignment="1" applyProtection="1">
      <alignment horizontal="center" vertical="center" wrapText="1"/>
      <protection/>
    </xf>
    <xf numFmtId="0" fontId="0" fillId="3" borderId="62" xfId="0" applyFill="1" applyBorder="1" applyAlignment="1" applyProtection="1">
      <alignment horizontal="center" vertical="center" wrapText="1"/>
      <protection/>
    </xf>
    <xf numFmtId="0" fontId="0" fillId="3" borderId="63" xfId="0" applyFill="1" applyBorder="1" applyAlignment="1" applyProtection="1">
      <alignment horizontal="center" vertical="center" wrapText="1"/>
      <protection/>
    </xf>
    <xf numFmtId="0" fontId="3" fillId="0" borderId="10" xfId="0" applyFont="1" applyFill="1" applyBorder="1" applyAlignment="1" applyProtection="1">
      <alignment horizontal="left" wrapText="1"/>
      <protection/>
    </xf>
    <xf numFmtId="0" fontId="0" fillId="0" borderId="10" xfId="0" applyFill="1" applyBorder="1" applyAlignment="1" applyProtection="1">
      <alignment/>
      <protection/>
    </xf>
    <xf numFmtId="0" fontId="0" fillId="0" borderId="63" xfId="0" applyBorder="1" applyAlignment="1" applyProtection="1">
      <alignment wrapText="1"/>
      <protection/>
    </xf>
    <xf numFmtId="0" fontId="0" fillId="3" borderId="62" xfId="0" applyFill="1" applyBorder="1" applyAlignment="1" applyProtection="1">
      <alignment horizontal="center" vertical="center"/>
      <protection/>
    </xf>
    <xf numFmtId="0" fontId="0" fillId="3" borderId="63" xfId="0" applyFill="1" applyBorder="1" applyAlignment="1" applyProtection="1">
      <alignment horizontal="center" vertical="center"/>
      <protection/>
    </xf>
    <xf numFmtId="0" fontId="60" fillId="35" borderId="93"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3" fillId="35" borderId="64"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9" xfId="0" applyFont="1" applyBorder="1" applyAlignment="1" applyProtection="1">
      <alignment horizontal="left" wrapText="1"/>
      <protection locked="0"/>
    </xf>
    <xf numFmtId="0" fontId="2" fillId="0" borderId="68"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0" fillId="3" borderId="62" xfId="0" applyFill="1" applyBorder="1" applyAlignment="1" applyProtection="1">
      <alignment wrapText="1"/>
      <protection/>
    </xf>
    <xf numFmtId="0" fontId="0" fillId="3" borderId="63" xfId="0" applyFill="1" applyBorder="1" applyAlignment="1" applyProtection="1">
      <alignment wrapText="1"/>
      <protection/>
    </xf>
    <xf numFmtId="0" fontId="2" fillId="0" borderId="35" xfId="0" applyFont="1" applyBorder="1" applyAlignment="1">
      <alignment horizontal="left" wrapText="1"/>
    </xf>
    <xf numFmtId="0" fontId="2" fillId="0" borderId="81" xfId="0" applyFont="1" applyBorder="1" applyAlignment="1">
      <alignment horizontal="left" wrapText="1"/>
    </xf>
    <xf numFmtId="0" fontId="9" fillId="36" borderId="86" xfId="0" applyFont="1" applyFill="1" applyBorder="1" applyAlignment="1" applyProtection="1">
      <alignment horizontal="center" vertical="center" wrapText="1"/>
      <protection/>
    </xf>
    <xf numFmtId="0" fontId="10" fillId="0" borderId="36" xfId="0" applyFont="1" applyBorder="1" applyAlignment="1">
      <alignment wrapText="1"/>
    </xf>
    <xf numFmtId="0" fontId="10" fillId="0" borderId="87" xfId="0" applyFont="1" applyBorder="1" applyAlignment="1">
      <alignment wrapText="1"/>
    </xf>
    <xf numFmtId="0" fontId="10" fillId="0" borderId="80"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88" xfId="0" applyFont="1" applyBorder="1" applyAlignment="1">
      <alignment wrapText="1"/>
    </xf>
    <xf numFmtId="0" fontId="10" fillId="0" borderId="10" xfId="0" applyFont="1" applyBorder="1" applyAlignment="1">
      <alignment wrapText="1"/>
    </xf>
    <xf numFmtId="0" fontId="10" fillId="0" borderId="89" xfId="0" applyFont="1" applyBorder="1" applyAlignment="1">
      <alignment wrapText="1"/>
    </xf>
    <xf numFmtId="0" fontId="9" fillId="36" borderId="64" xfId="0" applyFont="1" applyFill="1" applyBorder="1" applyAlignment="1" applyProtection="1">
      <alignment horizontal="center" vertical="center" wrapText="1"/>
      <protection/>
    </xf>
    <xf numFmtId="0" fontId="9" fillId="36" borderId="62" xfId="0" applyFont="1" applyFill="1" applyBorder="1" applyAlignment="1" applyProtection="1">
      <alignment horizontal="center" vertical="center" wrapText="1"/>
      <protection/>
    </xf>
    <xf numFmtId="0" fontId="10" fillId="0" borderId="63" xfId="0" applyFont="1" applyBorder="1" applyAlignment="1">
      <alignment wrapText="1"/>
    </xf>
    <xf numFmtId="0" fontId="9" fillId="36" borderId="3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9" xfId="0" applyFont="1" applyFill="1" applyBorder="1" applyAlignment="1" applyProtection="1">
      <alignment horizontal="center" vertical="center" wrapText="1"/>
      <protection/>
    </xf>
    <xf numFmtId="0" fontId="39" fillId="0" borderId="80" xfId="0" applyFont="1" applyBorder="1" applyAlignment="1" applyProtection="1">
      <alignment horizontal="center" vertical="center" wrapText="1"/>
      <protection/>
    </xf>
    <xf numFmtId="0" fontId="10" fillId="0" borderId="0" xfId="0" applyFont="1" applyAlignment="1">
      <alignment wrapText="1"/>
    </xf>
    <xf numFmtId="0" fontId="0" fillId="0" borderId="35" xfId="0" applyBorder="1" applyAlignment="1">
      <alignment horizontal="left" wrapText="1"/>
    </xf>
    <xf numFmtId="0" fontId="0" fillId="0" borderId="81" xfId="0" applyBorder="1" applyAlignment="1">
      <alignment horizontal="left" wrapText="1"/>
    </xf>
    <xf numFmtId="0" fontId="9" fillId="36" borderId="63" xfId="0" applyFont="1" applyFill="1" applyBorder="1" applyAlignment="1" applyProtection="1">
      <alignment horizontal="center" vertical="center" wrapText="1"/>
      <protection/>
    </xf>
    <xf numFmtId="0" fontId="2" fillId="0" borderId="91" xfId="0" applyFont="1" applyBorder="1" applyAlignment="1">
      <alignment horizontal="left" wrapText="1"/>
    </xf>
    <xf numFmtId="0" fontId="2" fillId="0" borderId="92" xfId="0" applyFont="1" applyBorder="1" applyAlignment="1">
      <alignment horizontal="left" wrapText="1"/>
    </xf>
    <xf numFmtId="0" fontId="0" fillId="0" borderId="36" xfId="0" applyBorder="1" applyAlignment="1">
      <alignment wrapText="1"/>
    </xf>
    <xf numFmtId="0" fontId="0" fillId="0" borderId="87" xfId="0" applyBorder="1" applyAlignment="1">
      <alignment wrapText="1"/>
    </xf>
    <xf numFmtId="0" fontId="0" fillId="0" borderId="80"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8" xfId="0" applyBorder="1" applyAlignment="1">
      <alignment wrapText="1"/>
    </xf>
    <xf numFmtId="0" fontId="0" fillId="0" borderId="10" xfId="0" applyBorder="1" applyAlignment="1">
      <alignment wrapText="1"/>
    </xf>
    <xf numFmtId="0" fontId="0" fillId="0" borderId="89" xfId="0" applyBorder="1" applyAlignment="1">
      <alignmen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78" xfId="0" applyFont="1" applyBorder="1" applyAlignment="1" applyProtection="1">
      <alignment horizontal="left" wrapText="1"/>
      <protection locked="0"/>
    </xf>
    <xf numFmtId="0" fontId="2" fillId="0" borderId="75" xfId="0" applyFont="1" applyBorder="1" applyAlignment="1">
      <alignment horizontal="left" wrapText="1"/>
    </xf>
    <xf numFmtId="0" fontId="2" fillId="0" borderId="95" xfId="0" applyFont="1" applyBorder="1" applyAlignment="1">
      <alignment horizontal="left" wrapText="1"/>
    </xf>
    <xf numFmtId="0" fontId="2" fillId="0" borderId="68" xfId="0" applyFont="1" applyBorder="1" applyAlignment="1">
      <alignment horizontal="left" wrapText="1"/>
    </xf>
    <xf numFmtId="0" fontId="2" fillId="0" borderId="94" xfId="0" applyFont="1" applyBorder="1" applyAlignment="1">
      <alignment horizontal="left"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6"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9" fillId="5" borderId="64"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3"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8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9" xfId="0" applyFill="1" applyBorder="1" applyAlignment="1" applyProtection="1">
      <alignment horizontal="center" vertical="center"/>
      <protection/>
    </xf>
    <xf numFmtId="0" fontId="0" fillId="5" borderId="36"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9" xfId="0" applyFill="1" applyBorder="1" applyAlignment="1" applyProtection="1">
      <alignment vertical="center" wrapText="1"/>
      <protection/>
    </xf>
    <xf numFmtId="0" fontId="9" fillId="32" borderId="64" xfId="0" applyFont="1" applyFill="1" applyBorder="1" applyAlignment="1" applyProtection="1">
      <alignment horizontal="center" vertical="center" wrapText="1"/>
      <protection/>
    </xf>
    <xf numFmtId="0" fontId="9" fillId="32" borderId="62" xfId="0" applyFont="1" applyFill="1" applyBorder="1" applyAlignment="1" applyProtection="1">
      <alignment horizontal="center" vertical="center" wrapText="1"/>
      <protection/>
    </xf>
    <xf numFmtId="0" fontId="9" fillId="32" borderId="63" xfId="0" applyFont="1" applyFill="1" applyBorder="1" applyAlignment="1" applyProtection="1">
      <alignment horizontal="center" vertical="center" wrapText="1"/>
      <protection/>
    </xf>
    <xf numFmtId="0" fontId="5" fillId="32" borderId="86"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81"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1" xfId="0" applyFont="1" applyBorder="1" applyAlignment="1" applyProtection="1">
      <alignment wrapText="1"/>
      <protection locked="0"/>
    </xf>
    <xf numFmtId="0" fontId="0" fillId="0" borderId="35" xfId="0" applyBorder="1" applyAlignment="1" applyProtection="1">
      <alignment wrapText="1"/>
      <protection locked="0"/>
    </xf>
    <xf numFmtId="0" fontId="0" fillId="0" borderId="81" xfId="0" applyBorder="1" applyAlignment="1" applyProtection="1">
      <alignment wrapText="1"/>
      <protection locked="0"/>
    </xf>
    <xf numFmtId="0" fontId="9" fillId="0" borderId="79" xfId="0" applyFont="1" applyBorder="1" applyAlignment="1" applyProtection="1">
      <alignment wrapText="1"/>
      <protection locked="0"/>
    </xf>
    <xf numFmtId="0" fontId="0" fillId="0" borderId="68" xfId="0" applyBorder="1" applyAlignment="1" applyProtection="1">
      <alignment wrapText="1"/>
      <protection locked="0"/>
    </xf>
    <xf numFmtId="0" fontId="0" fillId="0" borderId="94" xfId="0" applyBorder="1" applyAlignment="1" applyProtection="1">
      <alignment wrapText="1"/>
      <protection locked="0"/>
    </xf>
    <xf numFmtId="0" fontId="3" fillId="35" borderId="64"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4"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9" fillId="0" borderId="64" xfId="0" applyFont="1" applyBorder="1" applyAlignment="1">
      <alignment horizontal="left" wrapText="1"/>
    </xf>
    <xf numFmtId="0" fontId="9" fillId="0" borderId="62" xfId="0" applyFont="1" applyBorder="1" applyAlignment="1">
      <alignment horizontal="left" wrapText="1"/>
    </xf>
    <xf numFmtId="0" fontId="9" fillId="0" borderId="63" xfId="0" applyFont="1" applyBorder="1" applyAlignment="1">
      <alignment horizontal="left" wrapText="1"/>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6"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6"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22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5151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7662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765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496050"/>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638675"/>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5757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381875"/>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2964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7059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98774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334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3835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3835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79629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867150"/>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6291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6482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61962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57150</xdr:rowOff>
    </xdr:to>
    <xdr:sp>
      <xdr:nvSpPr>
        <xdr:cNvPr id="20" name="Line 210"/>
        <xdr:cNvSpPr>
          <a:spLocks/>
        </xdr:cNvSpPr>
      </xdr:nvSpPr>
      <xdr:spPr>
        <a:xfrm>
          <a:off x="543877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1047750</xdr:rowOff>
    </xdr:from>
    <xdr:to>
      <xdr:col>6</xdr:col>
      <xdr:colOff>428625</xdr:colOff>
      <xdr:row>21</xdr:row>
      <xdr:rowOff>9525</xdr:rowOff>
    </xdr:to>
    <xdr:sp>
      <xdr:nvSpPr>
        <xdr:cNvPr id="24" name="Line 214"/>
        <xdr:cNvSpPr>
          <a:spLocks/>
        </xdr:cNvSpPr>
      </xdr:nvSpPr>
      <xdr:spPr>
        <a:xfrm>
          <a:off x="3114675"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1047750</xdr:rowOff>
    </xdr:from>
    <xdr:to>
      <xdr:col>7</xdr:col>
      <xdr:colOff>552450</xdr:colOff>
      <xdr:row>21</xdr:row>
      <xdr:rowOff>9525</xdr:rowOff>
    </xdr:to>
    <xdr:sp>
      <xdr:nvSpPr>
        <xdr:cNvPr id="25" name="Line 215"/>
        <xdr:cNvSpPr>
          <a:spLocks/>
        </xdr:cNvSpPr>
      </xdr:nvSpPr>
      <xdr:spPr>
        <a:xfrm>
          <a:off x="434340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1047750</xdr:rowOff>
    </xdr:from>
    <xdr:to>
      <xdr:col>8</xdr:col>
      <xdr:colOff>542925</xdr:colOff>
      <xdr:row>21</xdr:row>
      <xdr:rowOff>9525</xdr:rowOff>
    </xdr:to>
    <xdr:sp>
      <xdr:nvSpPr>
        <xdr:cNvPr id="26" name="Line 216"/>
        <xdr:cNvSpPr>
          <a:spLocks/>
        </xdr:cNvSpPr>
      </xdr:nvSpPr>
      <xdr:spPr>
        <a:xfrm flipH="1">
          <a:off x="54673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1047750</xdr:rowOff>
    </xdr:from>
    <xdr:to>
      <xdr:col>9</xdr:col>
      <xdr:colOff>600075</xdr:colOff>
      <xdr:row>21</xdr:row>
      <xdr:rowOff>9525</xdr:rowOff>
    </xdr:to>
    <xdr:sp>
      <xdr:nvSpPr>
        <xdr:cNvPr id="27" name="Line 217"/>
        <xdr:cNvSpPr>
          <a:spLocks/>
        </xdr:cNvSpPr>
      </xdr:nvSpPr>
      <xdr:spPr>
        <a:xfrm>
          <a:off x="6619875"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058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00100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7962900"/>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7943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715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4297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144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058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28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300990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0100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74</xdr:row>
      <xdr:rowOff>142875</xdr:rowOff>
    </xdr:from>
    <xdr:to>
      <xdr:col>42</xdr:col>
      <xdr:colOff>9525</xdr:colOff>
      <xdr:row>74</xdr:row>
      <xdr:rowOff>142875</xdr:rowOff>
    </xdr:to>
    <xdr:sp>
      <xdr:nvSpPr>
        <xdr:cNvPr id="41" name="Line 231"/>
        <xdr:cNvSpPr>
          <a:spLocks/>
        </xdr:cNvSpPr>
      </xdr:nvSpPr>
      <xdr:spPr>
        <a:xfrm flipV="1">
          <a:off x="24898350" y="167925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391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29</xdr:row>
      <xdr:rowOff>238125</xdr:rowOff>
    </xdr:from>
    <xdr:to>
      <xdr:col>35</xdr:col>
      <xdr:colOff>381000</xdr:colOff>
      <xdr:row>29</xdr:row>
      <xdr:rowOff>238125</xdr:rowOff>
    </xdr:to>
    <xdr:sp>
      <xdr:nvSpPr>
        <xdr:cNvPr id="1" name="Line 20"/>
        <xdr:cNvSpPr>
          <a:spLocks/>
        </xdr:cNvSpPr>
      </xdr:nvSpPr>
      <xdr:spPr>
        <a:xfrm flipV="1">
          <a:off x="7429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28</xdr:row>
      <xdr:rowOff>0</xdr:rowOff>
    </xdr:from>
    <xdr:to>
      <xdr:col>31</xdr:col>
      <xdr:colOff>171450</xdr:colOff>
      <xdr:row>29</xdr:row>
      <xdr:rowOff>0</xdr:rowOff>
    </xdr:to>
    <xdr:sp>
      <xdr:nvSpPr>
        <xdr:cNvPr id="2" name="Line 21"/>
        <xdr:cNvSpPr>
          <a:spLocks/>
        </xdr:cNvSpPr>
      </xdr:nvSpPr>
      <xdr:spPr>
        <a:xfrm flipH="1">
          <a:off x="6686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352425</xdr:colOff>
      <xdr:row>26</xdr:row>
      <xdr:rowOff>0</xdr:rowOff>
    </xdr:from>
    <xdr:to>
      <xdr:col>23</xdr:col>
      <xdr:colOff>352425</xdr:colOff>
      <xdr:row>27</xdr:row>
      <xdr:rowOff>9525</xdr:rowOff>
    </xdr:to>
    <xdr:sp>
      <xdr:nvSpPr>
        <xdr:cNvPr id="3" name="Line 22"/>
        <xdr:cNvSpPr>
          <a:spLocks/>
        </xdr:cNvSpPr>
      </xdr:nvSpPr>
      <xdr:spPr>
        <a:xfrm>
          <a:off x="4848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26</xdr:row>
      <xdr:rowOff>0</xdr:rowOff>
    </xdr:from>
    <xdr:to>
      <xdr:col>31</xdr:col>
      <xdr:colOff>171450</xdr:colOff>
      <xdr:row>27</xdr:row>
      <xdr:rowOff>0</xdr:rowOff>
    </xdr:to>
    <xdr:sp>
      <xdr:nvSpPr>
        <xdr:cNvPr id="4" name="Line 23"/>
        <xdr:cNvSpPr>
          <a:spLocks/>
        </xdr:cNvSpPr>
      </xdr:nvSpPr>
      <xdr:spPr>
        <a:xfrm flipH="1" flipV="1">
          <a:off x="6686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28</xdr:row>
      <xdr:rowOff>171450</xdr:rowOff>
    </xdr:from>
    <xdr:to>
      <xdr:col>35</xdr:col>
      <xdr:colOff>390525</xdr:colOff>
      <xdr:row>30</xdr:row>
      <xdr:rowOff>228600</xdr:rowOff>
    </xdr:to>
    <xdr:sp>
      <xdr:nvSpPr>
        <xdr:cNvPr id="5" name="Line 18"/>
        <xdr:cNvSpPr>
          <a:spLocks/>
        </xdr:cNvSpPr>
      </xdr:nvSpPr>
      <xdr:spPr>
        <a:xfrm>
          <a:off x="7915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28</xdr:row>
      <xdr:rowOff>180975</xdr:rowOff>
    </xdr:from>
    <xdr:to>
      <xdr:col>38</xdr:col>
      <xdr:colOff>95250</xdr:colOff>
      <xdr:row>28</xdr:row>
      <xdr:rowOff>180975</xdr:rowOff>
    </xdr:to>
    <xdr:sp>
      <xdr:nvSpPr>
        <xdr:cNvPr id="6" name="Line 20"/>
        <xdr:cNvSpPr>
          <a:spLocks/>
        </xdr:cNvSpPr>
      </xdr:nvSpPr>
      <xdr:spPr>
        <a:xfrm flipV="1">
          <a:off x="7905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30</xdr:row>
      <xdr:rowOff>228600</xdr:rowOff>
    </xdr:from>
    <xdr:to>
      <xdr:col>39</xdr:col>
      <xdr:colOff>0</xdr:colOff>
      <xdr:row>30</xdr:row>
      <xdr:rowOff>228600</xdr:rowOff>
    </xdr:to>
    <xdr:sp>
      <xdr:nvSpPr>
        <xdr:cNvPr id="7" name="Line 20"/>
        <xdr:cNvSpPr>
          <a:spLocks/>
        </xdr:cNvSpPr>
      </xdr:nvSpPr>
      <xdr:spPr>
        <a:xfrm flipV="1">
          <a:off x="7915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238125</xdr:rowOff>
    </xdr:from>
    <xdr:to>
      <xdr:col>30</xdr:col>
      <xdr:colOff>19050</xdr:colOff>
      <xdr:row>29</xdr:row>
      <xdr:rowOff>238125</xdr:rowOff>
    </xdr:to>
    <xdr:sp>
      <xdr:nvSpPr>
        <xdr:cNvPr id="8" name="Line 19"/>
        <xdr:cNvSpPr>
          <a:spLocks/>
        </xdr:cNvSpPr>
      </xdr:nvSpPr>
      <xdr:spPr>
        <a:xfrm>
          <a:off x="5010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40995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42900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40995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41947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247650</xdr:colOff>
      <xdr:row>47</xdr:row>
      <xdr:rowOff>200025</xdr:rowOff>
    </xdr:to>
    <xdr:sp>
      <xdr:nvSpPr>
        <xdr:cNvPr id="5" name="Line 21"/>
        <xdr:cNvSpPr>
          <a:spLocks/>
        </xdr:cNvSpPr>
      </xdr:nvSpPr>
      <xdr:spPr>
        <a:xfrm flipV="1">
          <a:off x="341947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40995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76200</xdr:colOff>
      <xdr:row>37</xdr:row>
      <xdr:rowOff>180975</xdr:rowOff>
    </xdr:from>
    <xdr:to>
      <xdr:col>23</xdr:col>
      <xdr:colOff>104775</xdr:colOff>
      <xdr:row>46</xdr:row>
      <xdr:rowOff>152400</xdr:rowOff>
    </xdr:to>
    <xdr:sp>
      <xdr:nvSpPr>
        <xdr:cNvPr id="7" name="Line 18"/>
        <xdr:cNvSpPr>
          <a:spLocks/>
        </xdr:cNvSpPr>
      </xdr:nvSpPr>
      <xdr:spPr>
        <a:xfrm flipH="1">
          <a:off x="50387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40</xdr:row>
      <xdr:rowOff>142875</xdr:rowOff>
    </xdr:from>
    <xdr:to>
      <xdr:col>23</xdr:col>
      <xdr:colOff>104775</xdr:colOff>
      <xdr:row>40</xdr:row>
      <xdr:rowOff>142875</xdr:rowOff>
    </xdr:to>
    <xdr:sp>
      <xdr:nvSpPr>
        <xdr:cNvPr id="8" name="Line 21"/>
        <xdr:cNvSpPr>
          <a:spLocks/>
        </xdr:cNvSpPr>
      </xdr:nvSpPr>
      <xdr:spPr>
        <a:xfrm flipV="1">
          <a:off x="48577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43</xdr:row>
      <xdr:rowOff>209550</xdr:rowOff>
    </xdr:from>
    <xdr:to>
      <xdr:col>23</xdr:col>
      <xdr:colOff>123825</xdr:colOff>
      <xdr:row>43</xdr:row>
      <xdr:rowOff>209550</xdr:rowOff>
    </xdr:to>
    <xdr:sp>
      <xdr:nvSpPr>
        <xdr:cNvPr id="9" name="Line 21"/>
        <xdr:cNvSpPr>
          <a:spLocks/>
        </xdr:cNvSpPr>
      </xdr:nvSpPr>
      <xdr:spPr>
        <a:xfrm flipV="1">
          <a:off x="48672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46</xdr:row>
      <xdr:rowOff>152400</xdr:rowOff>
    </xdr:from>
    <xdr:to>
      <xdr:col>23</xdr:col>
      <xdr:colOff>104775</xdr:colOff>
      <xdr:row>46</xdr:row>
      <xdr:rowOff>152400</xdr:rowOff>
    </xdr:to>
    <xdr:sp>
      <xdr:nvSpPr>
        <xdr:cNvPr id="10" name="Line 21"/>
        <xdr:cNvSpPr>
          <a:spLocks/>
        </xdr:cNvSpPr>
      </xdr:nvSpPr>
      <xdr:spPr>
        <a:xfrm>
          <a:off x="48672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37</xdr:row>
      <xdr:rowOff>180975</xdr:rowOff>
    </xdr:from>
    <xdr:to>
      <xdr:col>23</xdr:col>
      <xdr:colOff>114300</xdr:colOff>
      <xdr:row>37</xdr:row>
      <xdr:rowOff>180975</xdr:rowOff>
    </xdr:to>
    <xdr:sp>
      <xdr:nvSpPr>
        <xdr:cNvPr id="11" name="Line 21"/>
        <xdr:cNvSpPr>
          <a:spLocks/>
        </xdr:cNvSpPr>
      </xdr:nvSpPr>
      <xdr:spPr>
        <a:xfrm>
          <a:off x="48577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85725</xdr:colOff>
      <xdr:row>43</xdr:row>
      <xdr:rowOff>104775</xdr:rowOff>
    </xdr:from>
    <xdr:to>
      <xdr:col>23</xdr:col>
      <xdr:colOff>390525</xdr:colOff>
      <xdr:row>43</xdr:row>
      <xdr:rowOff>104775</xdr:rowOff>
    </xdr:to>
    <xdr:sp>
      <xdr:nvSpPr>
        <xdr:cNvPr id="12" name="Line 21"/>
        <xdr:cNvSpPr>
          <a:spLocks/>
        </xdr:cNvSpPr>
      </xdr:nvSpPr>
      <xdr:spPr>
        <a:xfrm flipV="1">
          <a:off x="50482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65760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28575</xdr:colOff>
      <xdr:row>43</xdr:row>
      <xdr:rowOff>133350</xdr:rowOff>
    </xdr:from>
    <xdr:to>
      <xdr:col>30</xdr:col>
      <xdr:colOff>0</xdr:colOff>
      <xdr:row>43</xdr:row>
      <xdr:rowOff>133350</xdr:rowOff>
    </xdr:to>
    <xdr:sp>
      <xdr:nvSpPr>
        <xdr:cNvPr id="14" name="Line 21"/>
        <xdr:cNvSpPr>
          <a:spLocks/>
        </xdr:cNvSpPr>
      </xdr:nvSpPr>
      <xdr:spPr>
        <a:xfrm flipV="1">
          <a:off x="64008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9525</xdr:colOff>
      <xdr:row>42</xdr:row>
      <xdr:rowOff>180975</xdr:rowOff>
    </xdr:from>
    <xdr:to>
      <xdr:col>35</xdr:col>
      <xdr:colOff>104775</xdr:colOff>
      <xdr:row>42</xdr:row>
      <xdr:rowOff>180975</xdr:rowOff>
    </xdr:to>
    <xdr:sp>
      <xdr:nvSpPr>
        <xdr:cNvPr id="15" name="Line 21"/>
        <xdr:cNvSpPr>
          <a:spLocks/>
        </xdr:cNvSpPr>
      </xdr:nvSpPr>
      <xdr:spPr>
        <a:xfrm flipV="1">
          <a:off x="74961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35</xdr:col>
      <xdr:colOff>85725</xdr:colOff>
      <xdr:row>47</xdr:row>
      <xdr:rowOff>200025</xdr:rowOff>
    </xdr:to>
    <xdr:sp>
      <xdr:nvSpPr>
        <xdr:cNvPr id="16" name="Line 18"/>
        <xdr:cNvSpPr>
          <a:spLocks/>
        </xdr:cNvSpPr>
      </xdr:nvSpPr>
      <xdr:spPr>
        <a:xfrm flipH="1">
          <a:off x="80676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36</xdr:col>
      <xdr:colOff>19050</xdr:colOff>
      <xdr:row>38</xdr:row>
      <xdr:rowOff>142875</xdr:rowOff>
    </xdr:to>
    <xdr:sp>
      <xdr:nvSpPr>
        <xdr:cNvPr id="17" name="Line 21"/>
        <xdr:cNvSpPr>
          <a:spLocks/>
        </xdr:cNvSpPr>
      </xdr:nvSpPr>
      <xdr:spPr>
        <a:xfrm>
          <a:off x="80676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40</xdr:row>
      <xdr:rowOff>238125</xdr:rowOff>
    </xdr:from>
    <xdr:to>
      <xdr:col>36</xdr:col>
      <xdr:colOff>19050</xdr:colOff>
      <xdr:row>40</xdr:row>
      <xdr:rowOff>238125</xdr:rowOff>
    </xdr:to>
    <xdr:sp>
      <xdr:nvSpPr>
        <xdr:cNvPr id="18" name="Line 21"/>
        <xdr:cNvSpPr>
          <a:spLocks/>
        </xdr:cNvSpPr>
      </xdr:nvSpPr>
      <xdr:spPr>
        <a:xfrm>
          <a:off x="80772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47</xdr:row>
      <xdr:rowOff>200025</xdr:rowOff>
    </xdr:from>
    <xdr:to>
      <xdr:col>36</xdr:col>
      <xdr:colOff>0</xdr:colOff>
      <xdr:row>47</xdr:row>
      <xdr:rowOff>200025</xdr:rowOff>
    </xdr:to>
    <xdr:sp>
      <xdr:nvSpPr>
        <xdr:cNvPr id="19" name="Line 21"/>
        <xdr:cNvSpPr>
          <a:spLocks/>
        </xdr:cNvSpPr>
      </xdr:nvSpPr>
      <xdr:spPr>
        <a:xfrm flipV="1">
          <a:off x="80676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43</xdr:row>
      <xdr:rowOff>257175</xdr:rowOff>
    </xdr:from>
    <xdr:to>
      <xdr:col>36</xdr:col>
      <xdr:colOff>0</xdr:colOff>
      <xdr:row>43</xdr:row>
      <xdr:rowOff>257175</xdr:rowOff>
    </xdr:to>
    <xdr:sp>
      <xdr:nvSpPr>
        <xdr:cNvPr id="20" name="Line 21"/>
        <xdr:cNvSpPr>
          <a:spLocks/>
        </xdr:cNvSpPr>
      </xdr:nvSpPr>
      <xdr:spPr>
        <a:xfrm flipV="1">
          <a:off x="80772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95250</xdr:colOff>
      <xdr:row>45</xdr:row>
      <xdr:rowOff>200025</xdr:rowOff>
    </xdr:from>
    <xdr:to>
      <xdr:col>36</xdr:col>
      <xdr:colOff>0</xdr:colOff>
      <xdr:row>45</xdr:row>
      <xdr:rowOff>200025</xdr:rowOff>
    </xdr:to>
    <xdr:sp>
      <xdr:nvSpPr>
        <xdr:cNvPr id="21" name="Line 21"/>
        <xdr:cNvSpPr>
          <a:spLocks/>
        </xdr:cNvSpPr>
      </xdr:nvSpPr>
      <xdr:spPr>
        <a:xfrm flipV="1">
          <a:off x="80867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123825</xdr:colOff>
      <xdr:row>43</xdr:row>
      <xdr:rowOff>142875</xdr:rowOff>
    </xdr:from>
    <xdr:to>
      <xdr:col>29</xdr:col>
      <xdr:colOff>123825</xdr:colOff>
      <xdr:row>46</xdr:row>
      <xdr:rowOff>152400</xdr:rowOff>
    </xdr:to>
    <xdr:sp>
      <xdr:nvSpPr>
        <xdr:cNvPr id="22" name="Line 223"/>
        <xdr:cNvSpPr>
          <a:spLocks/>
        </xdr:cNvSpPr>
      </xdr:nvSpPr>
      <xdr:spPr>
        <a:xfrm>
          <a:off x="66008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30</xdr:row>
      <xdr:rowOff>0</xdr:rowOff>
    </xdr:from>
    <xdr:to>
      <xdr:col>23</xdr:col>
      <xdr:colOff>0</xdr:colOff>
      <xdr:row>30</xdr:row>
      <xdr:rowOff>0</xdr:rowOff>
    </xdr:to>
    <xdr:sp>
      <xdr:nvSpPr>
        <xdr:cNvPr id="1" name="Line 15"/>
        <xdr:cNvSpPr>
          <a:spLocks/>
        </xdr:cNvSpPr>
      </xdr:nvSpPr>
      <xdr:spPr>
        <a:xfrm>
          <a:off x="3895725" y="694372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171450</xdr:colOff>
      <xdr:row>30</xdr:row>
      <xdr:rowOff>0</xdr:rowOff>
    </xdr:from>
    <xdr:to>
      <xdr:col>21</xdr:col>
      <xdr:colOff>171450</xdr:colOff>
      <xdr:row>33</xdr:row>
      <xdr:rowOff>295275</xdr:rowOff>
    </xdr:to>
    <xdr:sp>
      <xdr:nvSpPr>
        <xdr:cNvPr id="2" name="Line 16"/>
        <xdr:cNvSpPr>
          <a:spLocks/>
        </xdr:cNvSpPr>
      </xdr:nvSpPr>
      <xdr:spPr>
        <a:xfrm>
          <a:off x="4171950" y="6943725"/>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28575</xdr:colOff>
      <xdr:row>31</xdr:row>
      <xdr:rowOff>0</xdr:rowOff>
    </xdr:from>
    <xdr:to>
      <xdr:col>29</xdr:col>
      <xdr:colOff>333375</xdr:colOff>
      <xdr:row>31</xdr:row>
      <xdr:rowOff>0</xdr:rowOff>
    </xdr:to>
    <xdr:sp>
      <xdr:nvSpPr>
        <xdr:cNvPr id="3" name="Line 17"/>
        <xdr:cNvSpPr>
          <a:spLocks/>
        </xdr:cNvSpPr>
      </xdr:nvSpPr>
      <xdr:spPr>
        <a:xfrm flipV="1">
          <a:off x="5438775" y="69723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114300</xdr:rowOff>
    </xdr:from>
    <xdr:to>
      <xdr:col>29</xdr:col>
      <xdr:colOff>323850</xdr:colOff>
      <xdr:row>35</xdr:row>
      <xdr:rowOff>209550</xdr:rowOff>
    </xdr:to>
    <xdr:sp>
      <xdr:nvSpPr>
        <xdr:cNvPr id="4" name="Line 18"/>
        <xdr:cNvSpPr>
          <a:spLocks/>
        </xdr:cNvSpPr>
      </xdr:nvSpPr>
      <xdr:spPr>
        <a:xfrm>
          <a:off x="6343650" y="6324600"/>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123825</xdr:rowOff>
    </xdr:from>
    <xdr:to>
      <xdr:col>31</xdr:col>
      <xdr:colOff>38100</xdr:colOff>
      <xdr:row>27</xdr:row>
      <xdr:rowOff>123825</xdr:rowOff>
    </xdr:to>
    <xdr:sp>
      <xdr:nvSpPr>
        <xdr:cNvPr id="5" name="Line 19"/>
        <xdr:cNvSpPr>
          <a:spLocks/>
        </xdr:cNvSpPr>
      </xdr:nvSpPr>
      <xdr:spPr>
        <a:xfrm>
          <a:off x="6343650" y="6334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190500</xdr:rowOff>
    </xdr:from>
    <xdr:to>
      <xdr:col>31</xdr:col>
      <xdr:colOff>9525</xdr:colOff>
      <xdr:row>29</xdr:row>
      <xdr:rowOff>190500</xdr:rowOff>
    </xdr:to>
    <xdr:sp>
      <xdr:nvSpPr>
        <xdr:cNvPr id="6" name="Line 20"/>
        <xdr:cNvSpPr>
          <a:spLocks/>
        </xdr:cNvSpPr>
      </xdr:nvSpPr>
      <xdr:spPr>
        <a:xfrm>
          <a:off x="6343650" y="670560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31</xdr:row>
      <xdr:rowOff>152400</xdr:rowOff>
    </xdr:from>
    <xdr:to>
      <xdr:col>31</xdr:col>
      <xdr:colOff>9525</xdr:colOff>
      <xdr:row>31</xdr:row>
      <xdr:rowOff>152400</xdr:rowOff>
    </xdr:to>
    <xdr:sp>
      <xdr:nvSpPr>
        <xdr:cNvPr id="7" name="Line 21"/>
        <xdr:cNvSpPr>
          <a:spLocks/>
        </xdr:cNvSpPr>
      </xdr:nvSpPr>
      <xdr:spPr>
        <a:xfrm>
          <a:off x="6334125" y="71247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33</xdr:row>
      <xdr:rowOff>161925</xdr:rowOff>
    </xdr:from>
    <xdr:to>
      <xdr:col>31</xdr:col>
      <xdr:colOff>9525</xdr:colOff>
      <xdr:row>33</xdr:row>
      <xdr:rowOff>171450</xdr:rowOff>
    </xdr:to>
    <xdr:sp>
      <xdr:nvSpPr>
        <xdr:cNvPr id="8" name="Line 22"/>
        <xdr:cNvSpPr>
          <a:spLocks/>
        </xdr:cNvSpPr>
      </xdr:nvSpPr>
      <xdr:spPr>
        <a:xfrm>
          <a:off x="6353175" y="7524750"/>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35</xdr:row>
      <xdr:rowOff>200025</xdr:rowOff>
    </xdr:from>
    <xdr:to>
      <xdr:col>31</xdr:col>
      <xdr:colOff>9525</xdr:colOff>
      <xdr:row>35</xdr:row>
      <xdr:rowOff>200025</xdr:rowOff>
    </xdr:to>
    <xdr:sp>
      <xdr:nvSpPr>
        <xdr:cNvPr id="9" name="Line 23"/>
        <xdr:cNvSpPr>
          <a:spLocks/>
        </xdr:cNvSpPr>
      </xdr:nvSpPr>
      <xdr:spPr>
        <a:xfrm flipV="1">
          <a:off x="6334125" y="78962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19</xdr:col>
      <xdr:colOff>38100</xdr:colOff>
      <xdr:row>34</xdr:row>
      <xdr:rowOff>19050</xdr:rowOff>
    </xdr:to>
    <xdr:sp>
      <xdr:nvSpPr>
        <xdr:cNvPr id="1" name="Line 18"/>
        <xdr:cNvSpPr>
          <a:spLocks/>
        </xdr:cNvSpPr>
      </xdr:nvSpPr>
      <xdr:spPr>
        <a:xfrm flipH="1">
          <a:off x="3019425" y="8353425"/>
          <a:ext cx="600075"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247650</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30</xdr:row>
      <xdr:rowOff>85725</xdr:rowOff>
    </xdr:from>
    <xdr:to>
      <xdr:col>31</xdr:col>
      <xdr:colOff>152400</xdr:colOff>
      <xdr:row>36</xdr:row>
      <xdr:rowOff>152400</xdr:rowOff>
    </xdr:to>
    <xdr:sp>
      <xdr:nvSpPr>
        <xdr:cNvPr id="8" name="Line 18"/>
        <xdr:cNvSpPr>
          <a:spLocks/>
        </xdr:cNvSpPr>
      </xdr:nvSpPr>
      <xdr:spPr>
        <a:xfrm flipH="1">
          <a:off x="6762750"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34</xdr:row>
      <xdr:rowOff>38100</xdr:rowOff>
    </xdr:from>
    <xdr:to>
      <xdr:col>31</xdr:col>
      <xdr:colOff>142875</xdr:colOff>
      <xdr:row>34</xdr:row>
      <xdr:rowOff>38100</xdr:rowOff>
    </xdr:to>
    <xdr:sp>
      <xdr:nvSpPr>
        <xdr:cNvPr id="9" name="Line 18"/>
        <xdr:cNvSpPr>
          <a:spLocks/>
        </xdr:cNvSpPr>
      </xdr:nvSpPr>
      <xdr:spPr>
        <a:xfrm flipH="1" flipV="1">
          <a:off x="5600700"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30</xdr:row>
      <xdr:rowOff>95250</xdr:rowOff>
    </xdr:from>
    <xdr:to>
      <xdr:col>31</xdr:col>
      <xdr:colOff>390525</xdr:colOff>
      <xdr:row>30</xdr:row>
      <xdr:rowOff>95250</xdr:rowOff>
    </xdr:to>
    <xdr:sp>
      <xdr:nvSpPr>
        <xdr:cNvPr id="10" name="Line 18"/>
        <xdr:cNvSpPr>
          <a:spLocks/>
        </xdr:cNvSpPr>
      </xdr:nvSpPr>
      <xdr:spPr>
        <a:xfrm flipH="1" flipV="1">
          <a:off x="6762750"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32</xdr:row>
      <xdr:rowOff>123825</xdr:rowOff>
    </xdr:from>
    <xdr:to>
      <xdr:col>32</xdr:col>
      <xdr:colOff>0</xdr:colOff>
      <xdr:row>32</xdr:row>
      <xdr:rowOff>123825</xdr:rowOff>
    </xdr:to>
    <xdr:sp>
      <xdr:nvSpPr>
        <xdr:cNvPr id="11" name="Line 18"/>
        <xdr:cNvSpPr>
          <a:spLocks/>
        </xdr:cNvSpPr>
      </xdr:nvSpPr>
      <xdr:spPr>
        <a:xfrm flipH="1" flipV="1">
          <a:off x="6772275"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34</xdr:row>
      <xdr:rowOff>152400</xdr:rowOff>
    </xdr:from>
    <xdr:to>
      <xdr:col>32</xdr:col>
      <xdr:colOff>0</xdr:colOff>
      <xdr:row>34</xdr:row>
      <xdr:rowOff>152400</xdr:rowOff>
    </xdr:to>
    <xdr:sp>
      <xdr:nvSpPr>
        <xdr:cNvPr id="12" name="Line 18"/>
        <xdr:cNvSpPr>
          <a:spLocks/>
        </xdr:cNvSpPr>
      </xdr:nvSpPr>
      <xdr:spPr>
        <a:xfrm flipH="1" flipV="1">
          <a:off x="6772275"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36</xdr:row>
      <xdr:rowOff>142875</xdr:rowOff>
    </xdr:from>
    <xdr:to>
      <xdr:col>32</xdr:col>
      <xdr:colOff>0</xdr:colOff>
      <xdr:row>36</xdr:row>
      <xdr:rowOff>142875</xdr:rowOff>
    </xdr:to>
    <xdr:sp>
      <xdr:nvSpPr>
        <xdr:cNvPr id="13" name="Line 18"/>
        <xdr:cNvSpPr>
          <a:spLocks/>
        </xdr:cNvSpPr>
      </xdr:nvSpPr>
      <xdr:spPr>
        <a:xfrm flipH="1" flipV="1">
          <a:off x="6772275"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5" customWidth="1"/>
  </cols>
  <sheetData>
    <row r="1" ht="12.75"/>
    <row r="2" ht="12.75"/>
    <row r="3" ht="12.75"/>
    <row r="4" ht="12.75"/>
    <row r="5" ht="12.75"/>
    <row r="6" ht="22.5" customHeight="1">
      <c r="B6" s="107" t="s">
        <v>4</v>
      </c>
    </row>
    <row r="7" spans="2:12" ht="24.75" customHeight="1">
      <c r="B7" s="664" t="s">
        <v>166</v>
      </c>
      <c r="C7" s="664"/>
      <c r="D7" s="664"/>
      <c r="E7" s="664"/>
      <c r="F7" s="664"/>
      <c r="G7" s="664"/>
      <c r="H7" s="664"/>
      <c r="I7" s="664"/>
      <c r="J7" s="664"/>
      <c r="K7" s="664"/>
      <c r="L7" s="96"/>
    </row>
    <row r="8" spans="2:12" ht="24.75" customHeight="1">
      <c r="B8" s="665" t="s">
        <v>222</v>
      </c>
      <c r="C8" s="665"/>
      <c r="D8" s="665"/>
      <c r="E8" s="665"/>
      <c r="F8" s="665"/>
      <c r="G8" s="665"/>
      <c r="H8" s="665"/>
      <c r="I8" s="665"/>
      <c r="J8" s="665"/>
      <c r="K8" s="665"/>
      <c r="L8" s="96"/>
    </row>
    <row r="10" spans="2:4" ht="18">
      <c r="B10" s="127" t="s">
        <v>368</v>
      </c>
      <c r="C10" s="128"/>
      <c r="D10" s="3"/>
    </row>
    <row r="11" spans="2:4" ht="10.5" customHeight="1">
      <c r="B11" s="4"/>
      <c r="C11" s="3"/>
      <c r="D11" s="3"/>
    </row>
    <row r="12" spans="1:12" s="26" customFormat="1" ht="16.5" customHeight="1">
      <c r="A12" s="21"/>
      <c r="B12" s="666" t="s">
        <v>375</v>
      </c>
      <c r="C12" s="667"/>
      <c r="D12" s="667"/>
      <c r="E12" s="667"/>
      <c r="F12" s="667"/>
      <c r="G12" s="667"/>
      <c r="H12" s="667"/>
      <c r="I12" s="667"/>
      <c r="J12" s="667"/>
      <c r="K12" s="667"/>
      <c r="L12" s="95"/>
    </row>
    <row r="13" spans="2:11" ht="10.5" customHeight="1">
      <c r="B13" s="129"/>
      <c r="C13" s="130"/>
      <c r="D13" s="129"/>
      <c r="E13" s="10"/>
      <c r="F13" s="129"/>
      <c r="G13" s="59"/>
      <c r="H13" s="59"/>
      <c r="I13" s="59"/>
      <c r="J13" s="59"/>
      <c r="K13" s="59"/>
    </row>
    <row r="14" spans="2:11" ht="15.75" customHeight="1">
      <c r="B14" s="131" t="s">
        <v>376</v>
      </c>
      <c r="C14" s="668" t="s">
        <v>615</v>
      </c>
      <c r="D14" s="669"/>
      <c r="E14" s="669"/>
      <c r="F14" s="669"/>
      <c r="G14" s="669"/>
      <c r="H14" s="669"/>
      <c r="I14" s="669"/>
      <c r="J14" s="669"/>
      <c r="K14" s="670"/>
    </row>
    <row r="15" spans="2:11" ht="7.5" customHeight="1">
      <c r="B15" s="132"/>
      <c r="C15" s="660"/>
      <c r="D15" s="661"/>
      <c r="E15" s="661"/>
      <c r="F15" s="661"/>
      <c r="G15" s="661"/>
      <c r="H15" s="661"/>
      <c r="I15" s="661"/>
      <c r="J15" s="661"/>
      <c r="K15" s="662"/>
    </row>
    <row r="16" spans="2:11" ht="15.75" customHeight="1">
      <c r="B16" s="132" t="s">
        <v>377</v>
      </c>
      <c r="C16" s="660" t="s">
        <v>379</v>
      </c>
      <c r="D16" s="661"/>
      <c r="E16" s="661"/>
      <c r="F16" s="661"/>
      <c r="G16" s="661"/>
      <c r="H16" s="661"/>
      <c r="I16" s="661"/>
      <c r="J16" s="661"/>
      <c r="K16" s="662"/>
    </row>
    <row r="17" spans="2:11" ht="7.5" customHeight="1">
      <c r="B17" s="132"/>
      <c r="C17" s="660"/>
      <c r="D17" s="661"/>
      <c r="E17" s="661"/>
      <c r="F17" s="661"/>
      <c r="G17" s="661"/>
      <c r="H17" s="661"/>
      <c r="I17" s="661"/>
      <c r="J17" s="661"/>
      <c r="K17" s="662"/>
    </row>
    <row r="18" spans="2:12" ht="15.75" customHeight="1">
      <c r="B18" s="132" t="s">
        <v>380</v>
      </c>
      <c r="C18" s="660" t="s">
        <v>167</v>
      </c>
      <c r="D18" s="663"/>
      <c r="E18" s="663"/>
      <c r="F18" s="663"/>
      <c r="G18" s="663"/>
      <c r="H18" s="663"/>
      <c r="I18" s="663"/>
      <c r="J18" s="663"/>
      <c r="K18" s="663"/>
      <c r="L18" s="95" t="s">
        <v>88</v>
      </c>
    </row>
    <row r="19" spans="2:11" ht="7.5" customHeight="1">
      <c r="B19" s="132"/>
      <c r="C19" s="660"/>
      <c r="D19" s="661"/>
      <c r="E19" s="661"/>
      <c r="F19" s="661"/>
      <c r="G19" s="661"/>
      <c r="H19" s="661"/>
      <c r="I19" s="661"/>
      <c r="J19" s="661"/>
      <c r="K19" s="662"/>
    </row>
    <row r="20" spans="2:12" ht="15.75" customHeight="1">
      <c r="B20" s="132" t="s">
        <v>381</v>
      </c>
      <c r="C20" s="660" t="s">
        <v>100</v>
      </c>
      <c r="D20" s="663"/>
      <c r="E20" s="663"/>
      <c r="F20" s="663"/>
      <c r="G20" s="663"/>
      <c r="H20" s="663"/>
      <c r="I20" s="663"/>
      <c r="J20" s="663"/>
      <c r="K20" s="663"/>
      <c r="L20" s="95" t="s">
        <v>365</v>
      </c>
    </row>
    <row r="21" spans="2:11" ht="7.5" customHeight="1">
      <c r="B21" s="132"/>
      <c r="C21" s="660"/>
      <c r="D21" s="661"/>
      <c r="E21" s="661"/>
      <c r="F21" s="661"/>
      <c r="G21" s="661"/>
      <c r="H21" s="661"/>
      <c r="I21" s="661"/>
      <c r="J21" s="661"/>
      <c r="K21" s="662"/>
    </row>
    <row r="22" spans="2:12" ht="15.75" customHeight="1">
      <c r="B22" s="132" t="s">
        <v>382</v>
      </c>
      <c r="C22" s="660" t="s">
        <v>59</v>
      </c>
      <c r="D22" s="663"/>
      <c r="E22" s="663"/>
      <c r="F22" s="663"/>
      <c r="G22" s="663"/>
      <c r="H22" s="663"/>
      <c r="I22" s="663"/>
      <c r="J22" s="663"/>
      <c r="K22" s="663"/>
      <c r="L22" s="95" t="s">
        <v>96</v>
      </c>
    </row>
    <row r="23" spans="2:11" ht="7.5" customHeight="1">
      <c r="B23" s="132"/>
      <c r="C23" s="660"/>
      <c r="D23" s="661"/>
      <c r="E23" s="661"/>
      <c r="F23" s="661"/>
      <c r="G23" s="661"/>
      <c r="H23" s="661"/>
      <c r="I23" s="661"/>
      <c r="J23" s="661"/>
      <c r="K23" s="662"/>
    </row>
    <row r="24" spans="2:12" ht="15.75" customHeight="1">
      <c r="B24" s="132" t="s">
        <v>334</v>
      </c>
      <c r="C24" s="660" t="s">
        <v>101</v>
      </c>
      <c r="D24" s="661"/>
      <c r="E24" s="661"/>
      <c r="F24" s="661"/>
      <c r="G24" s="661"/>
      <c r="H24" s="661"/>
      <c r="I24" s="661"/>
      <c r="J24" s="661"/>
      <c r="K24" s="662"/>
      <c r="L24" s="95" t="s">
        <v>40</v>
      </c>
    </row>
    <row r="25" spans="2:11" ht="7.5" customHeight="1">
      <c r="B25" s="132"/>
      <c r="C25" s="660"/>
      <c r="D25" s="661"/>
      <c r="E25" s="661"/>
      <c r="F25" s="661"/>
      <c r="G25" s="661"/>
      <c r="H25" s="661"/>
      <c r="I25" s="661"/>
      <c r="J25" s="661"/>
      <c r="K25" s="662"/>
    </row>
    <row r="26" spans="2:12" ht="15.75" customHeight="1">
      <c r="B26" s="132" t="s">
        <v>389</v>
      </c>
      <c r="C26" s="660" t="s">
        <v>168</v>
      </c>
      <c r="D26" s="663"/>
      <c r="E26" s="663"/>
      <c r="F26" s="663"/>
      <c r="G26" s="663"/>
      <c r="H26" s="663"/>
      <c r="I26" s="663"/>
      <c r="J26" s="663"/>
      <c r="K26" s="663"/>
      <c r="L26" s="95" t="s">
        <v>97</v>
      </c>
    </row>
    <row r="27" spans="2:11" ht="7.5" customHeight="1">
      <c r="B27" s="132"/>
      <c r="C27" s="660"/>
      <c r="D27" s="661"/>
      <c r="E27" s="661"/>
      <c r="F27" s="661"/>
      <c r="G27" s="661"/>
      <c r="H27" s="661"/>
      <c r="I27" s="661"/>
      <c r="J27" s="661"/>
      <c r="K27" s="662"/>
    </row>
    <row r="28" spans="2:11" ht="15.75" customHeight="1">
      <c r="B28" s="132" t="s">
        <v>335</v>
      </c>
      <c r="C28" s="660" t="s">
        <v>157</v>
      </c>
      <c r="D28" s="661"/>
      <c r="E28" s="661"/>
      <c r="F28" s="661"/>
      <c r="G28" s="661"/>
      <c r="H28" s="661"/>
      <c r="I28" s="661"/>
      <c r="J28" s="661"/>
      <c r="K28" s="662"/>
    </row>
    <row r="29" spans="2:11" ht="9.75" customHeight="1">
      <c r="B29" s="132"/>
      <c r="C29" s="673"/>
      <c r="D29" s="673"/>
      <c r="E29" s="673"/>
      <c r="F29" s="673"/>
      <c r="G29" s="673"/>
      <c r="H29" s="673"/>
      <c r="I29" s="673"/>
      <c r="J29" s="673"/>
      <c r="K29" s="673"/>
    </row>
    <row r="30" spans="2:11" ht="15">
      <c r="B30" s="13"/>
      <c r="C30" s="672"/>
      <c r="D30" s="672"/>
      <c r="E30" s="672"/>
      <c r="F30" s="672"/>
      <c r="G30" s="672"/>
      <c r="H30" s="672"/>
      <c r="I30" s="672"/>
      <c r="J30" s="672"/>
      <c r="K30" s="672"/>
    </row>
    <row r="31" spans="2:10" ht="7.5" customHeight="1">
      <c r="B31" s="14"/>
      <c r="C31" s="17"/>
      <c r="D31" s="17"/>
      <c r="E31" s="17"/>
      <c r="F31" s="17"/>
      <c r="G31" s="17"/>
      <c r="H31" s="17"/>
      <c r="I31" s="17"/>
      <c r="J31" s="17"/>
    </row>
    <row r="32" spans="2:12" s="7" customFormat="1" ht="15">
      <c r="B32" s="12"/>
      <c r="C32" s="671"/>
      <c r="D32" s="671"/>
      <c r="E32" s="671"/>
      <c r="F32" s="671"/>
      <c r="G32" s="671"/>
      <c r="H32" s="671"/>
      <c r="I32" s="671"/>
      <c r="J32" s="671"/>
      <c r="K32" s="671"/>
      <c r="L32" s="97"/>
    </row>
    <row r="33" ht="27" customHeight="1"/>
    <row r="34" ht="27.75" customHeight="1"/>
    <row r="35" ht="27.75" customHeight="1"/>
    <row r="36" ht="30.75" customHeight="1"/>
    <row r="37" ht="26.25" customHeight="1"/>
    <row r="38" ht="32.25" customHeight="1"/>
    <row r="39" ht="40.5" customHeight="1"/>
    <row r="40" ht="28.5" customHeight="1"/>
    <row r="41" spans="2:4" ht="12.7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view="pageBreakPreview"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6" hidden="1" customWidth="1"/>
    <col min="3" max="3" width="14.16015625" style="36"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20" customFormat="1" ht="15.75">
      <c r="B1" s="39"/>
      <c r="C1" s="40" t="s">
        <v>367</v>
      </c>
      <c r="D1" s="27"/>
      <c r="E1" s="27"/>
      <c r="F1" s="27"/>
      <c r="G1" s="28"/>
      <c r="H1" s="28"/>
      <c r="I1" s="28"/>
      <c r="J1" s="29"/>
      <c r="K1" s="29"/>
      <c r="L1" s="29"/>
      <c r="M1" s="28"/>
      <c r="N1" s="28"/>
      <c r="O1" s="28"/>
      <c r="P1" s="28"/>
    </row>
    <row r="2" spans="4:16" ht="6.75" customHeight="1">
      <c r="D2" s="1"/>
      <c r="E2" s="1"/>
      <c r="F2" s="1"/>
      <c r="G2" s="2"/>
      <c r="H2" s="2"/>
      <c r="I2" s="2"/>
      <c r="M2" s="2"/>
      <c r="N2" s="2"/>
      <c r="O2" s="2"/>
      <c r="P2" s="2"/>
    </row>
    <row r="3" spans="3:18" s="37" customFormat="1" ht="15">
      <c r="C3" s="32" t="s">
        <v>370</v>
      </c>
      <c r="D3" s="33"/>
      <c r="E3" s="33"/>
      <c r="F3" s="32"/>
      <c r="G3" s="32"/>
      <c r="H3" s="35"/>
      <c r="K3" s="34" t="s">
        <v>83</v>
      </c>
      <c r="L3" s="35"/>
      <c r="M3" s="35"/>
      <c r="N3" s="35"/>
      <c r="O3" s="32"/>
      <c r="P3" s="38"/>
      <c r="Q3" s="38"/>
      <c r="R3" s="38"/>
    </row>
    <row r="4" spans="3:16" ht="7.5" customHeight="1">
      <c r="C4" s="49"/>
      <c r="D4" s="8"/>
      <c r="E4" s="8"/>
      <c r="F4" s="8"/>
      <c r="G4" s="5"/>
      <c r="H4" s="5"/>
      <c r="I4" s="5"/>
      <c r="J4" s="6"/>
      <c r="K4" s="6"/>
      <c r="L4" s="6"/>
      <c r="M4" s="5"/>
      <c r="N4" s="5"/>
      <c r="O4" s="5"/>
      <c r="P4" s="5"/>
    </row>
    <row r="5" spans="2:16" s="20" customFormat="1" ht="17.25" customHeight="1">
      <c r="B5" s="39"/>
      <c r="C5" s="863" t="s">
        <v>241</v>
      </c>
      <c r="D5" s="864"/>
      <c r="E5" s="864"/>
      <c r="F5" s="864"/>
      <c r="G5" s="864"/>
      <c r="H5" s="864"/>
      <c r="I5" s="864"/>
      <c r="J5" s="864"/>
      <c r="K5" s="864"/>
      <c r="L5" s="864"/>
      <c r="M5" s="864"/>
      <c r="N5" s="30"/>
      <c r="O5" s="30"/>
      <c r="P5" s="30"/>
    </row>
    <row r="6" ht="9.75" customHeight="1"/>
    <row r="7" spans="3:16" ht="17.25" customHeight="1">
      <c r="C7" s="860" t="s">
        <v>13</v>
      </c>
      <c r="D7" s="861"/>
      <c r="E7" s="861"/>
      <c r="F7" s="861"/>
      <c r="G7" s="861"/>
      <c r="H7" s="861"/>
      <c r="I7" s="861"/>
      <c r="J7" s="861"/>
      <c r="K7" s="861"/>
      <c r="L7" s="861"/>
      <c r="M7" s="861"/>
      <c r="N7" s="861"/>
      <c r="O7" s="861"/>
      <c r="P7" s="862"/>
    </row>
    <row r="8" spans="3:16" ht="25.5" customHeight="1">
      <c r="C8" s="868"/>
      <c r="D8" s="869"/>
      <c r="E8" s="869"/>
      <c r="F8" s="869"/>
      <c r="G8" s="869"/>
      <c r="H8" s="869"/>
      <c r="I8" s="869"/>
      <c r="J8" s="869"/>
      <c r="K8" s="869"/>
      <c r="L8" s="869"/>
      <c r="M8" s="869"/>
      <c r="N8" s="869"/>
      <c r="O8" s="869"/>
      <c r="P8" s="870"/>
    </row>
    <row r="9" spans="3:16" ht="39" customHeight="1">
      <c r="C9" s="865" t="s">
        <v>323</v>
      </c>
      <c r="D9" s="866"/>
      <c r="E9" s="866"/>
      <c r="F9" s="866"/>
      <c r="G9" s="866"/>
      <c r="H9" s="866"/>
      <c r="I9" s="866"/>
      <c r="J9" s="866"/>
      <c r="K9" s="866"/>
      <c r="L9" s="866"/>
      <c r="M9" s="866"/>
      <c r="N9" s="866"/>
      <c r="O9" s="866"/>
      <c r="P9" s="867"/>
    </row>
    <row r="10" spans="3:16" ht="15" customHeight="1">
      <c r="C10" s="850"/>
      <c r="D10" s="851"/>
      <c r="E10" s="851"/>
      <c r="F10" s="851"/>
      <c r="G10" s="851"/>
      <c r="H10" s="851"/>
      <c r="I10" s="851"/>
      <c r="J10" s="851"/>
      <c r="K10" s="851"/>
      <c r="L10" s="851"/>
      <c r="M10" s="851"/>
      <c r="N10" s="851"/>
      <c r="O10" s="851"/>
      <c r="P10" s="852"/>
    </row>
    <row r="11" spans="3:16" ht="15" customHeight="1">
      <c r="C11" s="850"/>
      <c r="D11" s="851"/>
      <c r="E11" s="851"/>
      <c r="F11" s="851"/>
      <c r="G11" s="851"/>
      <c r="H11" s="851"/>
      <c r="I11" s="851"/>
      <c r="J11" s="851"/>
      <c r="K11" s="851"/>
      <c r="L11" s="851"/>
      <c r="M11" s="851"/>
      <c r="N11" s="851"/>
      <c r="O11" s="851"/>
      <c r="P11" s="852"/>
    </row>
    <row r="12" spans="3:16" ht="15" customHeight="1">
      <c r="C12" s="850"/>
      <c r="D12" s="851"/>
      <c r="E12" s="851"/>
      <c r="F12" s="851"/>
      <c r="G12" s="851"/>
      <c r="H12" s="851"/>
      <c r="I12" s="851"/>
      <c r="J12" s="851"/>
      <c r="K12" s="851"/>
      <c r="L12" s="851"/>
      <c r="M12" s="851"/>
      <c r="N12" s="851"/>
      <c r="O12" s="851"/>
      <c r="P12" s="852"/>
    </row>
    <row r="13" spans="3:16" ht="15" customHeight="1">
      <c r="C13" s="850"/>
      <c r="D13" s="853"/>
      <c r="E13" s="853"/>
      <c r="F13" s="853"/>
      <c r="G13" s="853"/>
      <c r="H13" s="853"/>
      <c r="I13" s="853"/>
      <c r="J13" s="853"/>
      <c r="K13" s="853"/>
      <c r="L13" s="853"/>
      <c r="M13" s="853"/>
      <c r="N13" s="853"/>
      <c r="O13" s="853"/>
      <c r="P13" s="854"/>
    </row>
    <row r="14" spans="3:16" ht="15" customHeight="1">
      <c r="C14" s="850"/>
      <c r="D14" s="851"/>
      <c r="E14" s="851"/>
      <c r="F14" s="851"/>
      <c r="G14" s="851"/>
      <c r="H14" s="851"/>
      <c r="I14" s="851"/>
      <c r="J14" s="851"/>
      <c r="K14" s="851"/>
      <c r="L14" s="851"/>
      <c r="M14" s="851"/>
      <c r="N14" s="851"/>
      <c r="O14" s="851"/>
      <c r="P14" s="852"/>
    </row>
    <row r="15" spans="3:16" ht="15" customHeight="1">
      <c r="C15" s="850"/>
      <c r="D15" s="851"/>
      <c r="E15" s="851"/>
      <c r="F15" s="851"/>
      <c r="G15" s="851"/>
      <c r="H15" s="851"/>
      <c r="I15" s="851"/>
      <c r="J15" s="851"/>
      <c r="K15" s="851"/>
      <c r="L15" s="851"/>
      <c r="M15" s="851"/>
      <c r="N15" s="851"/>
      <c r="O15" s="851"/>
      <c r="P15" s="852"/>
    </row>
    <row r="16" spans="3:16" ht="15" customHeight="1">
      <c r="C16" s="850"/>
      <c r="D16" s="851"/>
      <c r="E16" s="851"/>
      <c r="F16" s="851"/>
      <c r="G16" s="851"/>
      <c r="H16" s="851"/>
      <c r="I16" s="851"/>
      <c r="J16" s="851"/>
      <c r="K16" s="851"/>
      <c r="L16" s="851"/>
      <c r="M16" s="851"/>
      <c r="N16" s="851"/>
      <c r="O16" s="851"/>
      <c r="P16" s="852"/>
    </row>
    <row r="17" spans="3:16" ht="15" customHeight="1">
      <c r="C17" s="850"/>
      <c r="D17" s="853"/>
      <c r="E17" s="853"/>
      <c r="F17" s="853"/>
      <c r="G17" s="853"/>
      <c r="H17" s="853"/>
      <c r="I17" s="853"/>
      <c r="J17" s="853"/>
      <c r="K17" s="853"/>
      <c r="L17" s="853"/>
      <c r="M17" s="853"/>
      <c r="N17" s="853"/>
      <c r="O17" s="853"/>
      <c r="P17" s="854"/>
    </row>
    <row r="18" spans="3:16" ht="15" customHeight="1">
      <c r="C18" s="850"/>
      <c r="D18" s="853"/>
      <c r="E18" s="853"/>
      <c r="F18" s="853"/>
      <c r="G18" s="853"/>
      <c r="H18" s="853"/>
      <c r="I18" s="853"/>
      <c r="J18" s="853"/>
      <c r="K18" s="853"/>
      <c r="L18" s="853"/>
      <c r="M18" s="853"/>
      <c r="N18" s="853"/>
      <c r="O18" s="853"/>
      <c r="P18" s="854"/>
    </row>
    <row r="19" spans="3:16" ht="15" customHeight="1">
      <c r="C19" s="860" t="s">
        <v>52</v>
      </c>
      <c r="D19" s="861"/>
      <c r="E19" s="861"/>
      <c r="F19" s="861"/>
      <c r="G19" s="861"/>
      <c r="H19" s="861"/>
      <c r="I19" s="861"/>
      <c r="J19" s="861"/>
      <c r="K19" s="861"/>
      <c r="L19" s="861"/>
      <c r="M19" s="861"/>
      <c r="N19" s="861"/>
      <c r="O19" s="861"/>
      <c r="P19" s="862"/>
    </row>
    <row r="20" spans="3:16" ht="15" customHeight="1">
      <c r="C20" s="850"/>
      <c r="D20" s="855"/>
      <c r="E20" s="855"/>
      <c r="F20" s="855"/>
      <c r="G20" s="855"/>
      <c r="H20" s="855"/>
      <c r="I20" s="855"/>
      <c r="J20" s="855"/>
      <c r="K20" s="855"/>
      <c r="L20" s="855"/>
      <c r="M20" s="855"/>
      <c r="N20" s="855"/>
      <c r="O20" s="855"/>
      <c r="P20" s="856"/>
    </row>
    <row r="21" spans="3:16" ht="15" customHeight="1">
      <c r="C21" s="850"/>
      <c r="D21" s="855"/>
      <c r="E21" s="855"/>
      <c r="F21" s="855"/>
      <c r="G21" s="855"/>
      <c r="H21" s="855"/>
      <c r="I21" s="855"/>
      <c r="J21" s="855"/>
      <c r="K21" s="855"/>
      <c r="L21" s="855"/>
      <c r="M21" s="855"/>
      <c r="N21" s="855"/>
      <c r="O21" s="855"/>
      <c r="P21" s="856"/>
    </row>
    <row r="22" spans="3:16" ht="15" customHeight="1">
      <c r="C22" s="850"/>
      <c r="D22" s="855"/>
      <c r="E22" s="855"/>
      <c r="F22" s="855"/>
      <c r="G22" s="855"/>
      <c r="H22" s="855"/>
      <c r="I22" s="855"/>
      <c r="J22" s="855"/>
      <c r="K22" s="855"/>
      <c r="L22" s="855"/>
      <c r="M22" s="855"/>
      <c r="N22" s="855"/>
      <c r="O22" s="855"/>
      <c r="P22" s="856"/>
    </row>
    <row r="23" spans="3:16" ht="15" customHeight="1">
      <c r="C23" s="850"/>
      <c r="D23" s="855"/>
      <c r="E23" s="855"/>
      <c r="F23" s="855"/>
      <c r="G23" s="855"/>
      <c r="H23" s="855"/>
      <c r="I23" s="855"/>
      <c r="J23" s="855"/>
      <c r="K23" s="855"/>
      <c r="L23" s="855"/>
      <c r="M23" s="855"/>
      <c r="N23" s="855"/>
      <c r="O23" s="855"/>
      <c r="P23" s="856"/>
    </row>
    <row r="24" spans="3:16" ht="15" customHeight="1">
      <c r="C24" s="857"/>
      <c r="D24" s="858"/>
      <c r="E24" s="858"/>
      <c r="F24" s="858"/>
      <c r="G24" s="858"/>
      <c r="H24" s="858"/>
      <c r="I24" s="858"/>
      <c r="J24" s="858"/>
      <c r="K24" s="858"/>
      <c r="L24" s="858"/>
      <c r="M24" s="858"/>
      <c r="N24" s="858"/>
      <c r="O24" s="858"/>
      <c r="P24" s="859"/>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5"/>
  <sheetViews>
    <sheetView showGridLines="0" zoomScaleSheetLayoutView="100"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6"/>
      <c r="B1" s="31" t="s">
        <v>367</v>
      </c>
    </row>
    <row r="2" ht="9.75" customHeight="1"/>
    <row r="3" spans="2:11" s="20" customFormat="1" ht="16.5" customHeight="1">
      <c r="B3" s="680" t="s">
        <v>384</v>
      </c>
      <c r="C3" s="680"/>
      <c r="D3" s="680"/>
      <c r="E3" s="680"/>
      <c r="F3" s="680"/>
      <c r="G3" s="680"/>
      <c r="H3" s="680"/>
      <c r="I3" s="680"/>
      <c r="J3" s="680"/>
      <c r="K3" s="680"/>
    </row>
    <row r="4" ht="9.75" customHeight="1">
      <c r="C4" s="14"/>
    </row>
    <row r="5" spans="2:11" s="20" customFormat="1" ht="15.75">
      <c r="B5" s="683" t="s">
        <v>385</v>
      </c>
      <c r="C5" s="683"/>
      <c r="D5" s="683"/>
      <c r="E5" s="683"/>
      <c r="F5" s="683"/>
      <c r="G5" s="683"/>
      <c r="H5" s="683"/>
      <c r="I5" s="683"/>
      <c r="J5" s="683"/>
      <c r="K5" s="683"/>
    </row>
    <row r="6" spans="2:10" ht="7.5" customHeight="1">
      <c r="B6" s="15"/>
      <c r="C6" s="16"/>
      <c r="D6" s="9"/>
      <c r="F6" s="9"/>
      <c r="G6" s="6"/>
      <c r="H6" s="6"/>
      <c r="I6" s="6"/>
      <c r="J6" s="6"/>
    </row>
    <row r="7" spans="2:11" s="10" customFormat="1" ht="40.5" customHeight="1">
      <c r="B7" s="681" t="s">
        <v>6</v>
      </c>
      <c r="C7" s="681"/>
      <c r="D7" s="681"/>
      <c r="E7" s="681"/>
      <c r="F7" s="681"/>
      <c r="G7" s="681"/>
      <c r="H7" s="681"/>
      <c r="I7" s="681"/>
      <c r="J7" s="681"/>
      <c r="K7" s="681"/>
    </row>
    <row r="8" spans="2:11" s="10" customFormat="1" ht="7.5" customHeight="1">
      <c r="B8" s="45"/>
      <c r="C8" s="45"/>
      <c r="D8" s="45"/>
      <c r="E8" s="45"/>
      <c r="F8" s="45"/>
      <c r="G8" s="45"/>
      <c r="H8" s="45"/>
      <c r="I8" s="45"/>
      <c r="J8" s="45"/>
      <c r="K8" s="45"/>
    </row>
    <row r="9" spans="2:11" s="10" customFormat="1" ht="25.5" customHeight="1">
      <c r="B9" s="681" t="s">
        <v>207</v>
      </c>
      <c r="C9" s="686"/>
      <c r="D9" s="686"/>
      <c r="E9" s="686"/>
      <c r="F9" s="686"/>
      <c r="G9" s="686"/>
      <c r="H9" s="686"/>
      <c r="I9" s="686"/>
      <c r="J9" s="686"/>
      <c r="K9" s="686"/>
    </row>
    <row r="10" spans="2:11" s="10" customFormat="1" ht="4.5" customHeight="1">
      <c r="B10" s="133"/>
      <c r="C10" s="133"/>
      <c r="D10" s="133"/>
      <c r="E10" s="133"/>
      <c r="F10" s="133"/>
      <c r="G10" s="133"/>
      <c r="H10" s="133"/>
      <c r="I10" s="133"/>
      <c r="J10" s="133"/>
      <c r="K10" s="133"/>
    </row>
    <row r="11" spans="2:11" s="2" customFormat="1" ht="26.25" customHeight="1">
      <c r="B11" s="687" t="s">
        <v>221</v>
      </c>
      <c r="C11" s="687"/>
      <c r="D11" s="687"/>
      <c r="E11" s="687"/>
      <c r="F11" s="687"/>
      <c r="G11" s="687"/>
      <c r="H11" s="687"/>
      <c r="I11" s="687"/>
      <c r="J11" s="687"/>
      <c r="K11" s="687"/>
    </row>
    <row r="12" spans="2:11" s="10" customFormat="1" ht="4.5" customHeight="1">
      <c r="B12" s="45"/>
      <c r="C12" s="45"/>
      <c r="D12" s="45"/>
      <c r="E12" s="45"/>
      <c r="F12" s="45"/>
      <c r="G12" s="45"/>
      <c r="H12" s="45"/>
      <c r="I12" s="45"/>
      <c r="J12" s="45"/>
      <c r="K12" s="45"/>
    </row>
    <row r="13" spans="2:11" s="10" customFormat="1" ht="18.75" customHeight="1">
      <c r="B13" s="688" t="s">
        <v>206</v>
      </c>
      <c r="C13" s="688"/>
      <c r="D13" s="688"/>
      <c r="E13" s="688"/>
      <c r="F13" s="688"/>
      <c r="G13" s="688"/>
      <c r="H13" s="688"/>
      <c r="I13" s="688"/>
      <c r="J13" s="688"/>
      <c r="K13" s="688"/>
    </row>
    <row r="14" spans="2:11" s="10" customFormat="1" ht="4.5" customHeight="1">
      <c r="B14" s="45"/>
      <c r="C14" s="45"/>
      <c r="D14" s="45"/>
      <c r="E14" s="45"/>
      <c r="F14" s="45"/>
      <c r="G14" s="45"/>
      <c r="H14" s="45"/>
      <c r="I14" s="45"/>
      <c r="J14" s="45"/>
      <c r="K14" s="45"/>
    </row>
    <row r="15" spans="2:11" s="56" customFormat="1" ht="26.25" customHeight="1">
      <c r="B15" s="689" t="s">
        <v>211</v>
      </c>
      <c r="C15" s="689"/>
      <c r="D15" s="689"/>
      <c r="E15" s="689"/>
      <c r="F15" s="689"/>
      <c r="G15" s="689"/>
      <c r="H15" s="689"/>
      <c r="I15" s="689"/>
      <c r="J15" s="689"/>
      <c r="K15" s="689"/>
    </row>
    <row r="16" spans="2:11" s="10" customFormat="1" ht="4.5" customHeight="1">
      <c r="B16" s="45"/>
      <c r="C16" s="45"/>
      <c r="D16" s="45"/>
      <c r="E16" s="45"/>
      <c r="F16" s="45"/>
      <c r="G16" s="45"/>
      <c r="H16" s="45"/>
      <c r="I16" s="45"/>
      <c r="J16" s="45"/>
      <c r="K16" s="45"/>
    </row>
    <row r="17" spans="2:11" s="10" customFormat="1" ht="29.25" customHeight="1">
      <c r="B17" s="681" t="s">
        <v>49</v>
      </c>
      <c r="C17" s="681"/>
      <c r="D17" s="681"/>
      <c r="E17" s="681"/>
      <c r="F17" s="681"/>
      <c r="G17" s="681"/>
      <c r="H17" s="681"/>
      <c r="I17" s="681"/>
      <c r="J17" s="681"/>
      <c r="K17" s="681"/>
    </row>
    <row r="18" spans="2:11" s="10" customFormat="1" ht="4.5" customHeight="1">
      <c r="B18" s="133"/>
      <c r="C18" s="133"/>
      <c r="D18" s="133"/>
      <c r="E18" s="133"/>
      <c r="F18" s="133"/>
      <c r="G18" s="133"/>
      <c r="H18" s="133"/>
      <c r="I18" s="133"/>
      <c r="J18" s="133"/>
      <c r="K18" s="133"/>
    </row>
    <row r="19" spans="2:11" s="10" customFormat="1" ht="26.25" customHeight="1">
      <c r="B19" s="681" t="s">
        <v>230</v>
      </c>
      <c r="C19" s="681"/>
      <c r="D19" s="681"/>
      <c r="E19" s="681"/>
      <c r="F19" s="681"/>
      <c r="G19" s="681"/>
      <c r="H19" s="681"/>
      <c r="I19" s="681"/>
      <c r="J19" s="681"/>
      <c r="K19" s="681"/>
    </row>
    <row r="20" spans="2:11" s="10" customFormat="1" ht="4.5" customHeight="1">
      <c r="B20" s="126"/>
      <c r="C20" s="126"/>
      <c r="D20" s="126"/>
      <c r="E20" s="126"/>
      <c r="F20" s="126"/>
      <c r="G20" s="126"/>
      <c r="H20" s="126"/>
      <c r="I20" s="126"/>
      <c r="J20" s="126"/>
      <c r="K20" s="126"/>
    </row>
    <row r="21" spans="2:11" s="10" customFormat="1" ht="18.75" customHeight="1">
      <c r="B21" s="681" t="s">
        <v>212</v>
      </c>
      <c r="C21" s="681"/>
      <c r="D21" s="681"/>
      <c r="E21" s="681"/>
      <c r="F21" s="681"/>
      <c r="G21" s="681"/>
      <c r="H21" s="681"/>
      <c r="I21" s="681"/>
      <c r="J21" s="681"/>
      <c r="K21" s="681"/>
    </row>
    <row r="22" spans="2:11" s="10" customFormat="1" ht="26.25" customHeight="1">
      <c r="B22" s="692" t="s">
        <v>87</v>
      </c>
      <c r="C22" s="692"/>
      <c r="D22" s="692"/>
      <c r="E22" s="692"/>
      <c r="F22" s="692"/>
      <c r="G22" s="692"/>
      <c r="H22" s="692"/>
      <c r="I22" s="692"/>
      <c r="J22" s="692"/>
      <c r="K22" s="692"/>
    </row>
    <row r="23" spans="2:11" s="10" customFormat="1" ht="6.75" customHeight="1">
      <c r="B23" s="135"/>
      <c r="C23" s="45"/>
      <c r="D23" s="45"/>
      <c r="E23" s="45"/>
      <c r="F23" s="45"/>
      <c r="G23" s="45"/>
      <c r="H23" s="45"/>
      <c r="I23" s="45"/>
      <c r="J23" s="45"/>
      <c r="K23" s="45"/>
    </row>
    <row r="24" spans="2:11" s="10" customFormat="1" ht="38.25" customHeight="1">
      <c r="B24" s="681" t="s">
        <v>121</v>
      </c>
      <c r="C24" s="681"/>
      <c r="D24" s="681"/>
      <c r="E24" s="685"/>
      <c r="F24" s="685"/>
      <c r="G24" s="685"/>
      <c r="H24" s="685"/>
      <c r="I24" s="685"/>
      <c r="J24" s="685"/>
      <c r="K24" s="685"/>
    </row>
    <row r="25" spans="2:11" ht="10.5" customHeight="1">
      <c r="B25" s="126"/>
      <c r="C25" s="126"/>
      <c r="D25" s="126"/>
      <c r="E25" s="126"/>
      <c r="F25" s="126"/>
      <c r="G25" s="126"/>
      <c r="H25" s="126"/>
      <c r="I25" s="126"/>
      <c r="J25" s="126"/>
      <c r="K25" s="126"/>
    </row>
    <row r="26" spans="2:11" ht="15" customHeight="1">
      <c r="B26" s="684" t="s">
        <v>50</v>
      </c>
      <c r="C26" s="684"/>
      <c r="D26" s="684"/>
      <c r="E26" s="684"/>
      <c r="F26" s="684"/>
      <c r="G26" s="684"/>
      <c r="H26" s="684"/>
      <c r="I26" s="684"/>
      <c r="J26" s="684"/>
      <c r="K26" s="684"/>
    </row>
    <row r="27" spans="2:11" ht="28.5" customHeight="1">
      <c r="B27" s="692" t="s">
        <v>304</v>
      </c>
      <c r="C27" s="692"/>
      <c r="D27" s="692"/>
      <c r="E27" s="692"/>
      <c r="F27" s="692"/>
      <c r="G27" s="692"/>
      <c r="H27" s="692"/>
      <c r="I27" s="692"/>
      <c r="J27" s="692"/>
      <c r="K27" s="692"/>
    </row>
    <row r="28" spans="2:11" ht="15" customHeight="1">
      <c r="B28" s="688" t="s">
        <v>305</v>
      </c>
      <c r="C28" s="688"/>
      <c r="D28" s="688"/>
      <c r="E28" s="688"/>
      <c r="F28" s="688"/>
      <c r="G28" s="688"/>
      <c r="H28" s="688"/>
      <c r="I28" s="688"/>
      <c r="J28" s="688"/>
      <c r="K28" s="688"/>
    </row>
    <row r="29" spans="2:11" ht="27.75" customHeight="1">
      <c r="B29" s="688" t="s">
        <v>306</v>
      </c>
      <c r="C29" s="688"/>
      <c r="D29" s="688"/>
      <c r="E29" s="688"/>
      <c r="F29" s="688"/>
      <c r="G29" s="688"/>
      <c r="H29" s="688"/>
      <c r="I29" s="688"/>
      <c r="J29" s="688"/>
      <c r="K29" s="688"/>
    </row>
    <row r="30" spans="2:11" ht="15" customHeight="1">
      <c r="B30" s="688" t="s">
        <v>307</v>
      </c>
      <c r="C30" s="688"/>
      <c r="D30" s="688"/>
      <c r="E30" s="688"/>
      <c r="F30" s="688"/>
      <c r="G30" s="688"/>
      <c r="H30" s="688"/>
      <c r="I30" s="688"/>
      <c r="J30" s="688"/>
      <c r="K30" s="688"/>
    </row>
    <row r="31" spans="2:11" s="10" customFormat="1" ht="8.25" customHeight="1">
      <c r="B31" s="681"/>
      <c r="C31" s="682"/>
      <c r="D31" s="682"/>
      <c r="E31" s="682"/>
      <c r="F31" s="682"/>
      <c r="G31" s="682"/>
      <c r="H31" s="682"/>
      <c r="I31" s="682"/>
      <c r="J31" s="682"/>
      <c r="K31" s="682"/>
    </row>
    <row r="32" spans="2:11" ht="0.75" customHeight="1">
      <c r="B32" s="191"/>
      <c r="C32" s="192"/>
      <c r="D32" s="192"/>
      <c r="E32" s="192"/>
      <c r="F32" s="192"/>
      <c r="G32" s="192"/>
      <c r="H32" s="192"/>
      <c r="I32" s="192"/>
      <c r="J32" s="192"/>
      <c r="K32" s="193"/>
    </row>
    <row r="33" spans="2:11" s="20" customFormat="1" ht="15.75">
      <c r="B33" s="683" t="s">
        <v>386</v>
      </c>
      <c r="C33" s="691"/>
      <c r="D33" s="691"/>
      <c r="E33" s="691"/>
      <c r="F33" s="691"/>
      <c r="G33" s="691"/>
      <c r="H33" s="691"/>
      <c r="I33" s="691"/>
      <c r="J33" s="691"/>
      <c r="K33" s="691"/>
    </row>
    <row r="34" spans="2:11" ht="7.5" customHeight="1">
      <c r="B34" s="98"/>
      <c r="C34" s="41"/>
      <c r="D34" s="98"/>
      <c r="E34" s="41"/>
      <c r="F34" s="98"/>
      <c r="G34" s="41"/>
      <c r="H34" s="98"/>
      <c r="I34" s="41"/>
      <c r="J34" s="98"/>
      <c r="K34" s="41"/>
    </row>
    <row r="35" spans="2:11" ht="7.5" customHeight="1">
      <c r="B35" s="690"/>
      <c r="C35" s="690"/>
      <c r="D35" s="690"/>
      <c r="E35" s="690"/>
      <c r="F35" s="690"/>
      <c r="G35" s="690"/>
      <c r="H35" s="690"/>
      <c r="I35" s="690"/>
      <c r="J35" s="690"/>
      <c r="K35" s="690"/>
    </row>
    <row r="36" spans="2:11" s="56" customFormat="1" ht="15.75" customHeight="1">
      <c r="B36" s="137" t="s">
        <v>387</v>
      </c>
      <c r="C36" s="687" t="s">
        <v>213</v>
      </c>
      <c r="D36" s="687"/>
      <c r="E36" s="687"/>
      <c r="F36" s="687"/>
      <c r="G36" s="687"/>
      <c r="H36" s="687"/>
      <c r="I36" s="687"/>
      <c r="J36" s="687"/>
      <c r="K36" s="687"/>
    </row>
    <row r="37" spans="2:11" s="56" customFormat="1" ht="26.25" customHeight="1">
      <c r="B37" s="137" t="s">
        <v>387</v>
      </c>
      <c r="C37" s="697" t="s">
        <v>60</v>
      </c>
      <c r="D37" s="697"/>
      <c r="E37" s="697"/>
      <c r="F37" s="697"/>
      <c r="G37" s="697"/>
      <c r="H37" s="697"/>
      <c r="I37" s="697"/>
      <c r="J37" s="697"/>
      <c r="K37" s="697"/>
    </row>
    <row r="38" spans="2:11" s="46" customFormat="1" ht="51" customHeight="1">
      <c r="B38" s="137" t="s">
        <v>387</v>
      </c>
      <c r="C38" s="697" t="s">
        <v>122</v>
      </c>
      <c r="D38" s="697"/>
      <c r="E38" s="697"/>
      <c r="F38" s="697"/>
      <c r="G38" s="697"/>
      <c r="H38" s="697"/>
      <c r="I38" s="697"/>
      <c r="J38" s="697"/>
      <c r="K38" s="697"/>
    </row>
    <row r="39" spans="2:11" s="56" customFormat="1" ht="26.25" customHeight="1">
      <c r="B39" s="138" t="s">
        <v>387</v>
      </c>
      <c r="C39" s="701" t="s">
        <v>158</v>
      </c>
      <c r="D39" s="701"/>
      <c r="E39" s="701"/>
      <c r="F39" s="701"/>
      <c r="G39" s="701"/>
      <c r="H39" s="701"/>
      <c r="I39" s="701"/>
      <c r="J39" s="701"/>
      <c r="K39" s="701"/>
    </row>
    <row r="40" spans="2:11" s="10" customFormat="1" ht="24.75" customHeight="1">
      <c r="B40" s="138" t="s">
        <v>387</v>
      </c>
      <c r="C40" s="694" t="s">
        <v>255</v>
      </c>
      <c r="D40" s="694"/>
      <c r="E40" s="694"/>
      <c r="F40" s="694"/>
      <c r="G40" s="694"/>
      <c r="H40" s="694"/>
      <c r="I40" s="694"/>
      <c r="J40" s="694"/>
      <c r="K40" s="694"/>
    </row>
    <row r="41" spans="2:11" s="56" customFormat="1" ht="27.75" customHeight="1">
      <c r="B41" s="138" t="s">
        <v>387</v>
      </c>
      <c r="C41" s="696" t="s">
        <v>214</v>
      </c>
      <c r="D41" s="696"/>
      <c r="E41" s="696"/>
      <c r="F41" s="696"/>
      <c r="G41" s="696"/>
      <c r="H41" s="696"/>
      <c r="I41" s="696"/>
      <c r="J41" s="696"/>
      <c r="K41" s="696"/>
    </row>
    <row r="42" spans="2:11" s="10" customFormat="1" ht="15.75" customHeight="1">
      <c r="B42" s="138" t="s">
        <v>387</v>
      </c>
      <c r="C42" s="688" t="s">
        <v>215</v>
      </c>
      <c r="D42" s="688"/>
      <c r="E42" s="688"/>
      <c r="F42" s="688"/>
      <c r="G42" s="688"/>
      <c r="H42" s="688"/>
      <c r="I42" s="688"/>
      <c r="J42" s="688"/>
      <c r="K42" s="688"/>
    </row>
    <row r="43" spans="2:11" s="56" customFormat="1" ht="15.75" customHeight="1">
      <c r="B43" s="138" t="s">
        <v>387</v>
      </c>
      <c r="C43" s="693" t="s">
        <v>216</v>
      </c>
      <c r="D43" s="693"/>
      <c r="E43" s="693"/>
      <c r="F43" s="693"/>
      <c r="G43" s="693"/>
      <c r="H43" s="693"/>
      <c r="I43" s="693"/>
      <c r="J43" s="693"/>
      <c r="K43" s="693"/>
    </row>
    <row r="44" spans="2:11" s="56" customFormat="1" ht="14.25" customHeight="1">
      <c r="B44" s="138" t="s">
        <v>387</v>
      </c>
      <c r="C44" s="693" t="s">
        <v>43</v>
      </c>
      <c r="D44" s="693"/>
      <c r="E44" s="693"/>
      <c r="F44" s="693"/>
      <c r="G44" s="693"/>
      <c r="H44" s="693"/>
      <c r="I44" s="693"/>
      <c r="J44" s="693"/>
      <c r="K44" s="693"/>
    </row>
    <row r="45" spans="2:11" s="10" customFormat="1" ht="10.5" customHeight="1">
      <c r="B45" s="138"/>
      <c r="C45" s="688"/>
      <c r="D45" s="688"/>
      <c r="E45" s="688"/>
      <c r="F45" s="688"/>
      <c r="G45" s="688"/>
      <c r="H45" s="688"/>
      <c r="I45" s="688"/>
      <c r="J45" s="688"/>
      <c r="K45" s="688"/>
    </row>
    <row r="46" spans="2:11" s="61" customFormat="1" ht="15.75" customHeight="1">
      <c r="B46" s="140" t="s">
        <v>383</v>
      </c>
      <c r="C46" s="140"/>
      <c r="D46" s="140"/>
      <c r="E46" s="141"/>
      <c r="F46" s="141"/>
      <c r="G46" s="142"/>
      <c r="H46" s="142"/>
      <c r="I46" s="142"/>
      <c r="J46" s="142"/>
      <c r="K46" s="142"/>
    </row>
    <row r="47" spans="2:11" s="47" customFormat="1" ht="2.25" customHeight="1">
      <c r="B47" s="134"/>
      <c r="C47" s="139"/>
      <c r="D47" s="139"/>
      <c r="E47" s="139"/>
      <c r="F47" s="139"/>
      <c r="G47" s="139"/>
      <c r="H47" s="139"/>
      <c r="I47" s="139"/>
      <c r="J47" s="139"/>
      <c r="K47" s="139"/>
    </row>
    <row r="48" spans="2:11" s="47" customFormat="1" ht="13.5" customHeight="1">
      <c r="B48" s="143" t="s">
        <v>7</v>
      </c>
      <c r="C48" s="144" t="s">
        <v>165</v>
      </c>
      <c r="D48" s="145"/>
      <c r="E48" s="145"/>
      <c r="F48" s="145"/>
      <c r="G48" s="145"/>
      <c r="H48" s="145"/>
      <c r="I48" s="145"/>
      <c r="J48" s="145"/>
      <c r="K48" s="145"/>
    </row>
    <row r="49" spans="2:11" s="47" customFormat="1" ht="12.75">
      <c r="B49" s="143" t="s">
        <v>7</v>
      </c>
      <c r="C49" s="144" t="s">
        <v>8</v>
      </c>
      <c r="D49" s="144"/>
      <c r="E49" s="144"/>
      <c r="F49" s="144"/>
      <c r="G49" s="144"/>
      <c r="H49" s="144"/>
      <c r="I49" s="144"/>
      <c r="J49" s="144"/>
      <c r="K49" s="144"/>
    </row>
    <row r="50" spans="2:11" s="47" customFormat="1" ht="14.25" customHeight="1">
      <c r="B50" s="143" t="s">
        <v>7</v>
      </c>
      <c r="C50" s="144" t="s">
        <v>9</v>
      </c>
      <c r="D50" s="139"/>
      <c r="E50" s="139"/>
      <c r="F50" s="139"/>
      <c r="G50" s="139"/>
      <c r="H50" s="139"/>
      <c r="I50" s="139"/>
      <c r="J50" s="139"/>
      <c r="K50" s="139"/>
    </row>
    <row r="51" spans="2:11" s="47" customFormat="1" ht="30" customHeight="1">
      <c r="B51" s="143" t="s">
        <v>7</v>
      </c>
      <c r="C51" s="698" t="s">
        <v>220</v>
      </c>
      <c r="D51" s="698"/>
      <c r="E51" s="698"/>
      <c r="F51" s="698"/>
      <c r="G51" s="698"/>
      <c r="H51" s="698"/>
      <c r="I51" s="698"/>
      <c r="J51" s="698"/>
      <c r="K51" s="698"/>
    </row>
    <row r="52" spans="2:11" s="41" customFormat="1" ht="9.75" customHeight="1">
      <c r="B52" s="146"/>
      <c r="C52" s="147"/>
      <c r="D52" s="148"/>
      <c r="E52" s="148"/>
      <c r="F52" s="148"/>
      <c r="G52" s="148"/>
      <c r="H52" s="148"/>
      <c r="I52" s="148"/>
      <c r="J52" s="148"/>
      <c r="K52" s="148"/>
    </row>
    <row r="53" spans="2:11" s="20" customFormat="1" ht="15.75" customHeight="1">
      <c r="B53" s="699" t="s">
        <v>611</v>
      </c>
      <c r="C53" s="700"/>
      <c r="D53" s="700"/>
      <c r="E53" s="700"/>
      <c r="F53" s="700"/>
      <c r="G53" s="700"/>
      <c r="H53" s="700"/>
      <c r="I53" s="700"/>
      <c r="J53" s="700"/>
      <c r="K53" s="700"/>
    </row>
    <row r="54" spans="2:11" ht="7.5" customHeight="1">
      <c r="B54" s="11"/>
      <c r="C54" s="11"/>
      <c r="D54" s="154"/>
      <c r="E54" s="154"/>
      <c r="F54" s="11"/>
      <c r="G54" s="154"/>
      <c r="H54" s="154"/>
      <c r="I54" s="154"/>
      <c r="J54" s="154"/>
      <c r="K54" s="136"/>
    </row>
    <row r="55" spans="2:12" ht="24" customHeight="1">
      <c r="B55" s="677" t="s">
        <v>210</v>
      </c>
      <c r="C55" s="678"/>
      <c r="D55" s="678"/>
      <c r="E55" s="678"/>
      <c r="F55" s="678"/>
      <c r="G55" s="678"/>
      <c r="H55" s="678"/>
      <c r="I55" s="678"/>
      <c r="J55" s="678"/>
      <c r="K55" s="679"/>
      <c r="L55" s="25"/>
    </row>
    <row r="56" spans="2:11" ht="77.25" customHeight="1">
      <c r="B56" s="674" t="s">
        <v>308</v>
      </c>
      <c r="C56" s="675"/>
      <c r="D56" s="675"/>
      <c r="E56" s="675"/>
      <c r="F56" s="675"/>
      <c r="G56" s="675"/>
      <c r="H56" s="675"/>
      <c r="I56" s="675"/>
      <c r="J56" s="675"/>
      <c r="K56" s="676"/>
    </row>
    <row r="57" spans="2:11" ht="24" customHeight="1">
      <c r="B57" s="677" t="s">
        <v>103</v>
      </c>
      <c r="C57" s="678"/>
      <c r="D57" s="678"/>
      <c r="E57" s="678"/>
      <c r="F57" s="678"/>
      <c r="G57" s="678"/>
      <c r="H57" s="678"/>
      <c r="I57" s="678"/>
      <c r="J57" s="678"/>
      <c r="K57" s="679"/>
    </row>
    <row r="58" spans="2:11" ht="79.5" customHeight="1">
      <c r="B58" s="674" t="s">
        <v>262</v>
      </c>
      <c r="C58" s="675"/>
      <c r="D58" s="675"/>
      <c r="E58" s="675"/>
      <c r="F58" s="675"/>
      <c r="G58" s="675"/>
      <c r="H58" s="675"/>
      <c r="I58" s="675"/>
      <c r="J58" s="675"/>
      <c r="K58" s="676"/>
    </row>
    <row r="59" spans="2:11" ht="24" customHeight="1">
      <c r="B59" s="677" t="s">
        <v>240</v>
      </c>
      <c r="C59" s="678"/>
      <c r="D59" s="678"/>
      <c r="E59" s="678"/>
      <c r="F59" s="678"/>
      <c r="G59" s="678"/>
      <c r="H59" s="678"/>
      <c r="I59" s="678"/>
      <c r="J59" s="678"/>
      <c r="K59" s="679"/>
    </row>
    <row r="60" spans="2:11" ht="52.5" customHeight="1">
      <c r="B60" s="674" t="s">
        <v>124</v>
      </c>
      <c r="C60" s="675"/>
      <c r="D60" s="675"/>
      <c r="E60" s="675"/>
      <c r="F60" s="675"/>
      <c r="G60" s="675"/>
      <c r="H60" s="675"/>
      <c r="I60" s="675"/>
      <c r="J60" s="675"/>
      <c r="K60" s="676"/>
    </row>
    <row r="61" spans="2:11" ht="24" customHeight="1">
      <c r="B61" s="677" t="s">
        <v>146</v>
      </c>
      <c r="C61" s="678"/>
      <c r="D61" s="678"/>
      <c r="E61" s="678"/>
      <c r="F61" s="678"/>
      <c r="G61" s="678"/>
      <c r="H61" s="678"/>
      <c r="I61" s="678"/>
      <c r="J61" s="678"/>
      <c r="K61" s="679"/>
    </row>
    <row r="62" spans="2:11" ht="51.75" customHeight="1">
      <c r="B62" s="674" t="s">
        <v>250</v>
      </c>
      <c r="C62" s="675"/>
      <c r="D62" s="675"/>
      <c r="E62" s="675"/>
      <c r="F62" s="675"/>
      <c r="G62" s="675"/>
      <c r="H62" s="675"/>
      <c r="I62" s="675"/>
      <c r="J62" s="675"/>
      <c r="K62" s="676"/>
    </row>
    <row r="63" spans="2:11" ht="24" customHeight="1">
      <c r="B63" s="677" t="s">
        <v>147</v>
      </c>
      <c r="C63" s="678"/>
      <c r="D63" s="678"/>
      <c r="E63" s="678"/>
      <c r="F63" s="678"/>
      <c r="G63" s="678"/>
      <c r="H63" s="678"/>
      <c r="I63" s="678"/>
      <c r="J63" s="678"/>
      <c r="K63" s="679"/>
    </row>
    <row r="64" spans="2:11" ht="27" customHeight="1">
      <c r="B64" s="674" t="s">
        <v>12</v>
      </c>
      <c r="C64" s="675"/>
      <c r="D64" s="675"/>
      <c r="E64" s="675"/>
      <c r="F64" s="675"/>
      <c r="G64" s="675"/>
      <c r="H64" s="675"/>
      <c r="I64" s="675"/>
      <c r="J64" s="675"/>
      <c r="K64" s="676"/>
    </row>
    <row r="65" spans="2:11" s="20" customFormat="1" ht="24" customHeight="1">
      <c r="B65" s="677" t="s">
        <v>241</v>
      </c>
      <c r="C65" s="678"/>
      <c r="D65" s="678"/>
      <c r="E65" s="678"/>
      <c r="F65" s="678"/>
      <c r="G65" s="678"/>
      <c r="H65" s="678"/>
      <c r="I65" s="678"/>
      <c r="J65" s="678"/>
      <c r="K65" s="679"/>
    </row>
    <row r="66" spans="2:11" ht="52.5" customHeight="1">
      <c r="B66" s="674" t="s">
        <v>125</v>
      </c>
      <c r="C66" s="675"/>
      <c r="D66" s="675"/>
      <c r="E66" s="675"/>
      <c r="F66" s="675"/>
      <c r="G66" s="675"/>
      <c r="H66" s="675"/>
      <c r="I66" s="675"/>
      <c r="J66" s="675"/>
      <c r="K66" s="676"/>
    </row>
    <row r="67" spans="2:11" ht="24" customHeight="1">
      <c r="B67" s="139"/>
      <c r="C67" s="139"/>
      <c r="D67" s="139"/>
      <c r="E67" s="139"/>
      <c r="F67" s="139"/>
      <c r="G67" s="139"/>
      <c r="H67" s="139"/>
      <c r="I67" s="139"/>
      <c r="J67" s="139"/>
      <c r="K67" s="139"/>
    </row>
    <row r="68" spans="2:11" ht="15.75" customHeight="1">
      <c r="B68" s="695" t="s">
        <v>340</v>
      </c>
      <c r="C68" s="695"/>
      <c r="D68" s="695"/>
      <c r="E68" s="695"/>
      <c r="F68" s="695"/>
      <c r="G68" s="695"/>
      <c r="H68" s="695"/>
      <c r="I68" s="695"/>
      <c r="J68" s="695"/>
      <c r="K68" s="695"/>
    </row>
    <row r="69" spans="2:11" ht="24" customHeight="1">
      <c r="B69" s="10"/>
      <c r="C69" s="10"/>
      <c r="D69" s="10"/>
      <c r="E69" s="10"/>
      <c r="F69" s="10"/>
      <c r="G69" s="10"/>
      <c r="H69" s="10"/>
      <c r="I69" s="10"/>
      <c r="J69" s="10"/>
      <c r="K69" s="10"/>
    </row>
    <row r="70" spans="2:11" ht="54" customHeight="1">
      <c r="B70" s="10"/>
      <c r="C70" s="149" t="s">
        <v>342</v>
      </c>
      <c r="D70" s="150" t="s">
        <v>355</v>
      </c>
      <c r="E70" s="150" t="s">
        <v>356</v>
      </c>
      <c r="F70" s="10"/>
      <c r="G70" s="10"/>
      <c r="H70" s="10"/>
      <c r="I70" s="10"/>
      <c r="J70" s="10"/>
      <c r="K70" s="10"/>
    </row>
    <row r="71" spans="3:5" s="10" customFormat="1" ht="21" customHeight="1">
      <c r="C71" s="151" t="s">
        <v>336</v>
      </c>
      <c r="D71" s="152" t="s">
        <v>338</v>
      </c>
      <c r="E71" s="152">
        <v>4.54609</v>
      </c>
    </row>
    <row r="72" spans="2:11" ht="12.75">
      <c r="B72" s="10"/>
      <c r="C72" s="151" t="s">
        <v>337</v>
      </c>
      <c r="D72" s="152" t="s">
        <v>338</v>
      </c>
      <c r="E72" s="152">
        <v>3.785411784</v>
      </c>
      <c r="F72" s="10"/>
      <c r="G72" s="10"/>
      <c r="H72" s="10"/>
      <c r="I72" s="10"/>
      <c r="J72" s="10"/>
      <c r="K72" s="10"/>
    </row>
    <row r="73" spans="2:11" ht="14.25">
      <c r="B73" s="10"/>
      <c r="C73" s="151" t="s">
        <v>341</v>
      </c>
      <c r="D73" s="152" t="s">
        <v>338</v>
      </c>
      <c r="E73" s="152">
        <v>1000</v>
      </c>
      <c r="F73" s="10"/>
      <c r="G73" s="10"/>
      <c r="H73" s="10"/>
      <c r="I73" s="10"/>
      <c r="J73" s="10"/>
      <c r="K73" s="10"/>
    </row>
    <row r="74" spans="2:11" ht="14.25">
      <c r="B74" s="10"/>
      <c r="C74" s="151" t="s">
        <v>84</v>
      </c>
      <c r="D74" s="153" t="s">
        <v>341</v>
      </c>
      <c r="E74" s="152">
        <v>0.001</v>
      </c>
      <c r="F74" s="10"/>
      <c r="G74" s="10"/>
      <c r="H74" s="10"/>
      <c r="I74" s="10"/>
      <c r="J74" s="10"/>
      <c r="K74" s="10"/>
    </row>
    <row r="75" spans="2:11" ht="12.75">
      <c r="B75" s="10"/>
      <c r="C75" s="151" t="s">
        <v>339</v>
      </c>
      <c r="D75" s="152" t="s">
        <v>338</v>
      </c>
      <c r="E75" s="152">
        <v>0.001</v>
      </c>
      <c r="F75" s="10"/>
      <c r="G75" s="10"/>
      <c r="H75" s="10"/>
      <c r="I75" s="10"/>
      <c r="J75" s="10"/>
      <c r="K75" s="10"/>
    </row>
  </sheetData>
  <sheetProtection sheet="1"/>
  <mergeCells count="45">
    <mergeCell ref="B68:K68"/>
    <mergeCell ref="C41:K41"/>
    <mergeCell ref="C36:K36"/>
    <mergeCell ref="C38:K38"/>
    <mergeCell ref="B57:K57"/>
    <mergeCell ref="C51:K51"/>
    <mergeCell ref="B55:K55"/>
    <mergeCell ref="C37:K37"/>
    <mergeCell ref="B53:K53"/>
    <mergeCell ref="C39:K39"/>
    <mergeCell ref="B22:K22"/>
    <mergeCell ref="B28:K28"/>
    <mergeCell ref="B29:K29"/>
    <mergeCell ref="B30:K30"/>
    <mergeCell ref="B27:K27"/>
    <mergeCell ref="C45:K45"/>
    <mergeCell ref="C43:K43"/>
    <mergeCell ref="C44:K44"/>
    <mergeCell ref="C40:K40"/>
    <mergeCell ref="B58:K58"/>
    <mergeCell ref="B9:K9"/>
    <mergeCell ref="B11:K11"/>
    <mergeCell ref="B13:K13"/>
    <mergeCell ref="B15:K15"/>
    <mergeCell ref="B35:K35"/>
    <mergeCell ref="B56:K56"/>
    <mergeCell ref="C42:K42"/>
    <mergeCell ref="B19:K19"/>
    <mergeCell ref="B33:K33"/>
    <mergeCell ref="B59:K59"/>
    <mergeCell ref="B61:K61"/>
    <mergeCell ref="B3:K3"/>
    <mergeCell ref="B31:K31"/>
    <mergeCell ref="B17:K17"/>
    <mergeCell ref="B21:K21"/>
    <mergeCell ref="B5:K5"/>
    <mergeCell ref="B26:K26"/>
    <mergeCell ref="B7:K7"/>
    <mergeCell ref="B24:K24"/>
    <mergeCell ref="B66:K66"/>
    <mergeCell ref="B60:K60"/>
    <mergeCell ref="B62:K62"/>
    <mergeCell ref="B65:K65"/>
    <mergeCell ref="B64:K64"/>
    <mergeCell ref="B63:K63"/>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32" max="255" man="1"/>
    <brk id="52" max="255" man="1"/>
    <brk id="67" max="255" man="1"/>
  </rowBreaks>
</worksheet>
</file>

<file path=xl/worksheets/sheet3.xml><?xml version="1.0" encoding="utf-8"?>
<worksheet xmlns="http://schemas.openxmlformats.org/spreadsheetml/2006/main" xmlns:r="http://schemas.openxmlformats.org/officeDocument/2006/relationships">
  <sheetPr codeName="Sheet3"/>
  <dimension ref="A1:P94"/>
  <sheetViews>
    <sheetView showGridLines="0" zoomScaleSheetLayoutView="100" zoomScalePageLayoutView="0" workbookViewId="0" topLeftCell="A1">
      <selection activeCell="A1" sqref="A1"/>
    </sheetView>
  </sheetViews>
  <sheetFormatPr defaultColWidth="9.33203125" defaultRowHeight="12.75"/>
  <cols>
    <col min="1" max="1" width="3.33203125" style="2" customWidth="1"/>
    <col min="2" max="2" width="11.83203125" style="24" customWidth="1"/>
    <col min="3" max="3" width="33.83203125" style="19" customWidth="1"/>
    <col min="4" max="4" width="121" style="19" customWidth="1"/>
    <col min="5" max="5" width="5.5" style="109" customWidth="1"/>
    <col min="6" max="6" width="5.5" style="110" customWidth="1"/>
    <col min="7" max="7" width="9.33203125" style="110" customWidth="1"/>
    <col min="8" max="10" width="9.33203125" style="2" customWidth="1"/>
    <col min="11" max="11" width="20.5" style="2" customWidth="1"/>
    <col min="12" max="16384" width="9.33203125" style="2" customWidth="1"/>
  </cols>
  <sheetData>
    <row r="1" ht="15.75">
      <c r="B1" s="31" t="s">
        <v>367</v>
      </c>
    </row>
    <row r="2" ht="7.5" customHeight="1"/>
    <row r="3" spans="2:4" ht="18">
      <c r="B3" s="702" t="s">
        <v>379</v>
      </c>
      <c r="C3" s="702"/>
      <c r="D3" s="702"/>
    </row>
    <row r="4" spans="2:4" ht="12.75" customHeight="1">
      <c r="B4" s="108"/>
      <c r="C4" s="155"/>
      <c r="D4" s="156"/>
    </row>
    <row r="5" spans="2:4" ht="15.75">
      <c r="B5" s="703" t="s">
        <v>156</v>
      </c>
      <c r="C5" s="703"/>
      <c r="D5" s="703"/>
    </row>
    <row r="6" spans="2:7" s="11" customFormat="1" ht="40.5" customHeight="1" thickBot="1">
      <c r="B6" s="705" t="s">
        <v>218</v>
      </c>
      <c r="C6" s="706"/>
      <c r="D6" s="706"/>
      <c r="E6" s="109"/>
      <c r="F6" s="110"/>
      <c r="G6" s="110"/>
    </row>
    <row r="7" spans="2:4" ht="40.5" customHeight="1">
      <c r="B7" s="157" t="s">
        <v>626</v>
      </c>
      <c r="C7" s="158" t="s">
        <v>332</v>
      </c>
      <c r="D7" s="159" t="s">
        <v>85</v>
      </c>
    </row>
    <row r="8" spans="2:7" s="11" customFormat="1" ht="27.75" customHeight="1">
      <c r="B8" s="160" t="s">
        <v>1</v>
      </c>
      <c r="C8" s="161" t="s">
        <v>625</v>
      </c>
      <c r="D8" s="162" t="s">
        <v>309</v>
      </c>
      <c r="E8" s="111"/>
      <c r="F8" s="110"/>
      <c r="G8" s="110"/>
    </row>
    <row r="9" spans="2:7" s="11" customFormat="1" ht="108.75" customHeight="1">
      <c r="B9" s="160" t="s">
        <v>154</v>
      </c>
      <c r="C9" s="161" t="s">
        <v>86</v>
      </c>
      <c r="D9" s="162" t="s">
        <v>120</v>
      </c>
      <c r="E9" s="111"/>
      <c r="F9" s="110"/>
      <c r="G9" s="110"/>
    </row>
    <row r="10" spans="2:7" s="11" customFormat="1" ht="54" customHeight="1">
      <c r="B10" s="194" t="s">
        <v>80</v>
      </c>
      <c r="C10" s="163" t="s">
        <v>81</v>
      </c>
      <c r="D10" s="195" t="s">
        <v>231</v>
      </c>
      <c r="E10" s="111"/>
      <c r="F10" s="110"/>
      <c r="G10" s="110"/>
    </row>
    <row r="11" spans="2:7" s="11" customFormat="1" ht="54" customHeight="1">
      <c r="B11" s="160" t="s">
        <v>629</v>
      </c>
      <c r="C11" s="161" t="s">
        <v>331</v>
      </c>
      <c r="D11" s="162" t="s">
        <v>0</v>
      </c>
      <c r="E11" s="111"/>
      <c r="F11" s="110"/>
      <c r="G11" s="110"/>
    </row>
    <row r="12" spans="2:7" s="11" customFormat="1" ht="16.5" customHeight="1" thickBot="1">
      <c r="B12" s="164" t="s">
        <v>219</v>
      </c>
      <c r="C12" s="185" t="s">
        <v>172</v>
      </c>
      <c r="D12" s="196" t="s">
        <v>263</v>
      </c>
      <c r="E12" s="111"/>
      <c r="F12" s="110"/>
      <c r="G12" s="110"/>
    </row>
    <row r="13" spans="2:4" ht="21.75" customHeight="1">
      <c r="B13" s="165"/>
      <c r="C13" s="155"/>
      <c r="D13" s="156"/>
    </row>
    <row r="14" spans="2:4" ht="18" customHeight="1" thickBot="1">
      <c r="B14" s="704" t="s">
        <v>377</v>
      </c>
      <c r="C14" s="704"/>
      <c r="D14" s="704"/>
    </row>
    <row r="15" spans="2:7" ht="32.25" customHeight="1">
      <c r="B15" s="166" t="s">
        <v>29</v>
      </c>
      <c r="C15" s="167" t="s">
        <v>3</v>
      </c>
      <c r="D15" s="168" t="s">
        <v>377</v>
      </c>
      <c r="E15" s="109" t="s">
        <v>155</v>
      </c>
      <c r="G15" s="110" t="s">
        <v>173</v>
      </c>
    </row>
    <row r="16" spans="2:7" ht="30.75" customHeight="1">
      <c r="B16" s="169" t="s">
        <v>31</v>
      </c>
      <c r="C16" s="161" t="s">
        <v>357</v>
      </c>
      <c r="D16" s="170" t="s">
        <v>282</v>
      </c>
      <c r="E16" s="109">
        <v>1</v>
      </c>
      <c r="G16" s="110">
        <v>7</v>
      </c>
    </row>
    <row r="17" spans="2:7" ht="66.75" customHeight="1">
      <c r="B17" s="169" t="s">
        <v>32</v>
      </c>
      <c r="C17" s="161" t="s">
        <v>608</v>
      </c>
      <c r="D17" s="171" t="s">
        <v>301</v>
      </c>
      <c r="E17" s="109">
        <v>2</v>
      </c>
      <c r="G17" s="110">
        <v>28</v>
      </c>
    </row>
    <row r="18" spans="2:7" ht="56.25" customHeight="1">
      <c r="B18" s="169" t="s">
        <v>33</v>
      </c>
      <c r="C18" s="161" t="s">
        <v>609</v>
      </c>
      <c r="D18" s="170" t="s">
        <v>264</v>
      </c>
      <c r="E18" s="109">
        <v>3</v>
      </c>
      <c r="G18" s="110">
        <v>26</v>
      </c>
    </row>
    <row r="19" spans="2:7" ht="39" customHeight="1">
      <c r="B19" s="169" t="s">
        <v>34</v>
      </c>
      <c r="C19" s="161" t="s">
        <v>251</v>
      </c>
      <c r="D19" s="170" t="s">
        <v>392</v>
      </c>
      <c r="E19" s="109">
        <v>4</v>
      </c>
      <c r="G19" s="110">
        <v>19</v>
      </c>
    </row>
    <row r="20" spans="2:7" ht="27" customHeight="1">
      <c r="B20" s="169" t="s">
        <v>35</v>
      </c>
      <c r="C20" s="161" t="s">
        <v>627</v>
      </c>
      <c r="D20" s="171" t="s">
        <v>232</v>
      </c>
      <c r="E20" s="109">
        <v>5</v>
      </c>
      <c r="G20" s="110">
        <v>20</v>
      </c>
    </row>
    <row r="21" spans="2:7" ht="40.5" customHeight="1">
      <c r="B21" s="169" t="s">
        <v>36</v>
      </c>
      <c r="C21" s="161" t="s">
        <v>252</v>
      </c>
      <c r="D21" s="170" t="s">
        <v>244</v>
      </c>
      <c r="E21" s="109">
        <v>6</v>
      </c>
      <c r="G21" s="110">
        <v>21</v>
      </c>
    </row>
    <row r="22" spans="2:4" ht="28.5" customHeight="1">
      <c r="B22" s="169" t="s">
        <v>46</v>
      </c>
      <c r="C22" s="161" t="s">
        <v>349</v>
      </c>
      <c r="D22" s="170" t="s">
        <v>350</v>
      </c>
    </row>
    <row r="23" spans="2:4" ht="26.25" customHeight="1">
      <c r="B23" s="169" t="s">
        <v>47</v>
      </c>
      <c r="C23" s="161" t="s">
        <v>48</v>
      </c>
      <c r="D23" s="170" t="s">
        <v>351</v>
      </c>
    </row>
    <row r="24" spans="2:7" ht="29.25" customHeight="1">
      <c r="B24" s="169" t="s">
        <v>242</v>
      </c>
      <c r="C24" s="161" t="s">
        <v>102</v>
      </c>
      <c r="D24" s="170" t="s">
        <v>243</v>
      </c>
      <c r="E24" s="109">
        <v>6</v>
      </c>
      <c r="G24" s="110">
        <v>21</v>
      </c>
    </row>
    <row r="25" spans="2:7" ht="27.75" customHeight="1">
      <c r="B25" s="169" t="s">
        <v>88</v>
      </c>
      <c r="C25" s="161" t="s">
        <v>201</v>
      </c>
      <c r="D25" s="170" t="s">
        <v>245</v>
      </c>
      <c r="E25" s="109">
        <v>8</v>
      </c>
      <c r="G25" s="110">
        <v>47</v>
      </c>
    </row>
    <row r="26" spans="1:7" ht="102" customHeight="1">
      <c r="A26" s="11"/>
      <c r="B26" s="169" t="s">
        <v>96</v>
      </c>
      <c r="C26" s="161" t="s">
        <v>330</v>
      </c>
      <c r="D26" s="172" t="s">
        <v>265</v>
      </c>
      <c r="E26" s="109">
        <v>22</v>
      </c>
      <c r="G26" s="110" t="s">
        <v>203</v>
      </c>
    </row>
    <row r="27" spans="2:7" s="11" customFormat="1" ht="64.5" customHeight="1">
      <c r="B27" s="169" t="s">
        <v>96</v>
      </c>
      <c r="C27" s="161" t="s">
        <v>30</v>
      </c>
      <c r="D27" s="172" t="s">
        <v>266</v>
      </c>
      <c r="E27" s="109"/>
      <c r="F27" s="110"/>
      <c r="G27" s="110"/>
    </row>
    <row r="28" spans="2:5" ht="27" customHeight="1">
      <c r="B28" s="173" t="s">
        <v>247</v>
      </c>
      <c r="C28" s="161" t="s">
        <v>246</v>
      </c>
      <c r="D28" s="172" t="s">
        <v>267</v>
      </c>
      <c r="E28" s="109">
        <v>9</v>
      </c>
    </row>
    <row r="29" spans="2:7" s="11" customFormat="1" ht="15.75" customHeight="1">
      <c r="B29" s="169" t="s">
        <v>37</v>
      </c>
      <c r="C29" s="161" t="s">
        <v>268</v>
      </c>
      <c r="D29" s="172" t="s">
        <v>269</v>
      </c>
      <c r="E29" s="109"/>
      <c r="F29" s="110"/>
      <c r="G29" s="110"/>
    </row>
    <row r="30" spans="2:7" s="11" customFormat="1" ht="52.5" customHeight="1">
      <c r="B30" s="169" t="s">
        <v>248</v>
      </c>
      <c r="C30" s="161" t="s">
        <v>546</v>
      </c>
      <c r="D30" s="172" t="s">
        <v>111</v>
      </c>
      <c r="E30" s="109"/>
      <c r="F30" s="110"/>
      <c r="G30" s="110"/>
    </row>
    <row r="31" spans="2:7" s="11" customFormat="1" ht="65.25" customHeight="1">
      <c r="B31" s="173" t="s">
        <v>270</v>
      </c>
      <c r="C31" s="174" t="s">
        <v>112</v>
      </c>
      <c r="D31" s="171" t="s">
        <v>159</v>
      </c>
      <c r="E31" s="109">
        <v>25</v>
      </c>
      <c r="F31" s="110"/>
      <c r="G31" s="110"/>
    </row>
    <row r="32" spans="2:7" s="11" customFormat="1" ht="30" customHeight="1">
      <c r="B32" s="173" t="s">
        <v>352</v>
      </c>
      <c r="C32" s="174" t="s">
        <v>113</v>
      </c>
      <c r="D32" s="171" t="s">
        <v>576</v>
      </c>
      <c r="E32" s="109"/>
      <c r="F32" s="110"/>
      <c r="G32" s="110"/>
    </row>
    <row r="33" spans="2:7" s="11" customFormat="1" ht="42" customHeight="1">
      <c r="B33" s="173" t="s">
        <v>353</v>
      </c>
      <c r="C33" s="174" t="s">
        <v>114</v>
      </c>
      <c r="D33" s="171" t="s">
        <v>577</v>
      </c>
      <c r="E33" s="109"/>
      <c r="F33" s="110"/>
      <c r="G33" s="110"/>
    </row>
    <row r="34" spans="2:7" s="11" customFormat="1" ht="30.75" customHeight="1">
      <c r="B34" s="173" t="s">
        <v>354</v>
      </c>
      <c r="C34" s="174" t="s">
        <v>115</v>
      </c>
      <c r="D34" s="171" t="s">
        <v>578</v>
      </c>
      <c r="E34" s="109"/>
      <c r="F34" s="110"/>
      <c r="G34" s="110"/>
    </row>
    <row r="35" spans="2:7" s="11" customFormat="1" ht="39" customHeight="1">
      <c r="B35" s="173" t="s">
        <v>271</v>
      </c>
      <c r="C35" s="174" t="s">
        <v>116</v>
      </c>
      <c r="D35" s="171" t="s">
        <v>126</v>
      </c>
      <c r="E35" s="109">
        <v>51</v>
      </c>
      <c r="F35" s="110"/>
      <c r="G35" s="110"/>
    </row>
    <row r="36" spans="2:7" s="11" customFormat="1" ht="39.75" customHeight="1">
      <c r="B36" s="169" t="s">
        <v>41</v>
      </c>
      <c r="C36" s="174" t="s">
        <v>117</v>
      </c>
      <c r="D36" s="171" t="s">
        <v>127</v>
      </c>
      <c r="E36" s="109"/>
      <c r="F36" s="110"/>
      <c r="G36" s="110"/>
    </row>
    <row r="37" spans="2:5" ht="15.75" customHeight="1">
      <c r="B37" s="173" t="s">
        <v>283</v>
      </c>
      <c r="C37" s="161" t="s">
        <v>358</v>
      </c>
      <c r="D37" s="171" t="s">
        <v>547</v>
      </c>
      <c r="E37" s="109">
        <v>12</v>
      </c>
    </row>
    <row r="38" spans="2:5" ht="39" customHeight="1">
      <c r="B38" s="173" t="s">
        <v>284</v>
      </c>
      <c r="C38" s="161" t="s">
        <v>628</v>
      </c>
      <c r="D38" s="171" t="s">
        <v>118</v>
      </c>
      <c r="E38" s="109">
        <v>13</v>
      </c>
    </row>
    <row r="39" spans="2:5" ht="31.5" customHeight="1">
      <c r="B39" s="173" t="s">
        <v>285</v>
      </c>
      <c r="C39" s="161" t="s">
        <v>622</v>
      </c>
      <c r="D39" s="171" t="s">
        <v>119</v>
      </c>
      <c r="E39" s="109">
        <v>14</v>
      </c>
    </row>
    <row r="40" spans="2:5" ht="30.75" customHeight="1">
      <c r="B40" s="173" t="s">
        <v>286</v>
      </c>
      <c r="C40" s="161" t="s">
        <v>623</v>
      </c>
      <c r="D40" s="171" t="s">
        <v>132</v>
      </c>
      <c r="E40" s="109">
        <v>15</v>
      </c>
    </row>
    <row r="41" spans="2:5" ht="27" customHeight="1">
      <c r="B41" s="173" t="s">
        <v>287</v>
      </c>
      <c r="C41" s="161" t="s">
        <v>202</v>
      </c>
      <c r="D41" s="175" t="s">
        <v>233</v>
      </c>
      <c r="E41" s="109">
        <v>16</v>
      </c>
    </row>
    <row r="42" spans="2:5" ht="27.75" customHeight="1">
      <c r="B42" s="173" t="s">
        <v>288</v>
      </c>
      <c r="C42" s="161" t="s">
        <v>82</v>
      </c>
      <c r="D42" s="171" t="s">
        <v>133</v>
      </c>
      <c r="E42" s="109">
        <v>17</v>
      </c>
    </row>
    <row r="43" spans="2:5" ht="39.75" customHeight="1">
      <c r="B43" s="173" t="s">
        <v>289</v>
      </c>
      <c r="C43" s="161" t="s">
        <v>302</v>
      </c>
      <c r="D43" s="171" t="s">
        <v>290</v>
      </c>
      <c r="E43" s="109">
        <v>31</v>
      </c>
    </row>
    <row r="44" spans="2:5" ht="39.75" customHeight="1">
      <c r="B44" s="173" t="s">
        <v>291</v>
      </c>
      <c r="C44" s="174" t="s">
        <v>292</v>
      </c>
      <c r="D44" s="171" t="s">
        <v>128</v>
      </c>
      <c r="E44" s="109">
        <v>52</v>
      </c>
    </row>
    <row r="45" spans="2:4" ht="39.75" customHeight="1">
      <c r="B45" s="176" t="s">
        <v>226</v>
      </c>
      <c r="C45" s="177" t="s">
        <v>134</v>
      </c>
      <c r="D45" s="178" t="s">
        <v>135</v>
      </c>
    </row>
    <row r="46" spans="1:7" s="11" customFormat="1" ht="15.75" customHeight="1">
      <c r="A46" s="2"/>
      <c r="B46" s="179" t="s">
        <v>293</v>
      </c>
      <c r="C46" s="180" t="s">
        <v>38</v>
      </c>
      <c r="D46" s="181" t="s">
        <v>5</v>
      </c>
      <c r="E46" s="109">
        <v>32</v>
      </c>
      <c r="F46" s="110"/>
      <c r="G46" s="110"/>
    </row>
    <row r="47" spans="1:7" s="11" customFormat="1" ht="30" customHeight="1">
      <c r="A47" s="2"/>
      <c r="B47" s="179" t="s">
        <v>227</v>
      </c>
      <c r="C47" s="182" t="s">
        <v>136</v>
      </c>
      <c r="D47" s="171" t="s">
        <v>229</v>
      </c>
      <c r="E47" s="109"/>
      <c r="F47" s="110"/>
      <c r="G47" s="110"/>
    </row>
    <row r="48" spans="1:7" s="11" customFormat="1" ht="41.25" customHeight="1">
      <c r="A48" s="2"/>
      <c r="B48" s="179" t="s">
        <v>228</v>
      </c>
      <c r="C48" s="182" t="s">
        <v>137</v>
      </c>
      <c r="D48" s="171" t="s">
        <v>129</v>
      </c>
      <c r="E48" s="109"/>
      <c r="F48" s="110"/>
      <c r="G48" s="110"/>
    </row>
    <row r="49" spans="1:7" s="11" customFormat="1" ht="26.25" customHeight="1">
      <c r="A49" s="2"/>
      <c r="B49" s="169" t="s">
        <v>42</v>
      </c>
      <c r="C49" s="174" t="s">
        <v>138</v>
      </c>
      <c r="D49" s="171" t="s">
        <v>590</v>
      </c>
      <c r="E49" s="109"/>
      <c r="F49" s="110"/>
      <c r="G49" s="110"/>
    </row>
    <row r="50" spans="1:5" ht="29.25" customHeight="1">
      <c r="A50" s="11"/>
      <c r="B50" s="173" t="s">
        <v>294</v>
      </c>
      <c r="C50" s="161" t="s">
        <v>16</v>
      </c>
      <c r="D50" s="171" t="s">
        <v>164</v>
      </c>
      <c r="E50" s="109">
        <v>27</v>
      </c>
    </row>
    <row r="51" spans="2:7" s="11" customFormat="1" ht="38.25" customHeight="1">
      <c r="B51" s="173" t="s">
        <v>295</v>
      </c>
      <c r="C51" s="161" t="s">
        <v>303</v>
      </c>
      <c r="D51" s="171" t="s">
        <v>236</v>
      </c>
      <c r="E51" s="109">
        <v>30</v>
      </c>
      <c r="F51" s="110"/>
      <c r="G51" s="110"/>
    </row>
    <row r="52" spans="2:7" s="11" customFormat="1" ht="41.25" customHeight="1">
      <c r="B52" s="173" t="s">
        <v>257</v>
      </c>
      <c r="C52" s="161" t="s">
        <v>20</v>
      </c>
      <c r="D52" s="171" t="s">
        <v>256</v>
      </c>
      <c r="E52" s="109">
        <v>29</v>
      </c>
      <c r="F52" s="110"/>
      <c r="G52" s="110"/>
    </row>
    <row r="53" spans="2:7" s="11" customFormat="1" ht="41.25" customHeight="1">
      <c r="B53" s="173" t="s">
        <v>258</v>
      </c>
      <c r="C53" s="161" t="s">
        <v>619</v>
      </c>
      <c r="D53" s="171" t="s">
        <v>260</v>
      </c>
      <c r="E53" s="109"/>
      <c r="F53" s="110"/>
      <c r="G53" s="110"/>
    </row>
    <row r="54" spans="2:7" s="11" customFormat="1" ht="41.25" customHeight="1">
      <c r="B54" s="173" t="s">
        <v>259</v>
      </c>
      <c r="C54" s="161" t="s">
        <v>620</v>
      </c>
      <c r="D54" s="171" t="s">
        <v>261</v>
      </c>
      <c r="E54" s="109"/>
      <c r="F54" s="110"/>
      <c r="G54" s="110"/>
    </row>
    <row r="55" spans="2:7" s="11" customFormat="1" ht="52.5" customHeight="1">
      <c r="B55" s="173" t="s">
        <v>310</v>
      </c>
      <c r="C55" s="161" t="s">
        <v>105</v>
      </c>
      <c r="D55" s="172" t="s">
        <v>585</v>
      </c>
      <c r="E55" s="109">
        <v>18</v>
      </c>
      <c r="F55" s="110"/>
      <c r="G55" s="110"/>
    </row>
    <row r="56" spans="2:7" s="11" customFormat="1" ht="52.5" customHeight="1">
      <c r="B56" s="173" t="s">
        <v>26</v>
      </c>
      <c r="C56" s="174" t="s">
        <v>27</v>
      </c>
      <c r="D56" s="172" t="s">
        <v>314</v>
      </c>
      <c r="E56" s="109"/>
      <c r="F56" s="110"/>
      <c r="G56" s="110"/>
    </row>
    <row r="57" spans="1:7" s="11" customFormat="1" ht="42" customHeight="1">
      <c r="A57" s="2"/>
      <c r="B57" s="173" t="s">
        <v>579</v>
      </c>
      <c r="C57" s="161" t="s">
        <v>224</v>
      </c>
      <c r="D57" s="171" t="s">
        <v>234</v>
      </c>
      <c r="E57" s="109"/>
      <c r="F57" s="110"/>
      <c r="G57" s="110"/>
    </row>
    <row r="58" spans="1:7" s="11" customFormat="1" ht="41.25" customHeight="1">
      <c r="A58" s="2"/>
      <c r="B58" s="173" t="s">
        <v>580</v>
      </c>
      <c r="C58" s="161" t="s">
        <v>225</v>
      </c>
      <c r="D58" s="171" t="s">
        <v>123</v>
      </c>
      <c r="E58" s="109"/>
      <c r="F58" s="110"/>
      <c r="G58" s="110"/>
    </row>
    <row r="59" spans="1:7" s="11" customFormat="1" ht="58.5" customHeight="1">
      <c r="A59" s="2"/>
      <c r="B59" s="173" t="s">
        <v>581</v>
      </c>
      <c r="C59" s="161" t="s">
        <v>151</v>
      </c>
      <c r="D59" s="171" t="s">
        <v>343</v>
      </c>
      <c r="E59" s="109">
        <v>34</v>
      </c>
      <c r="F59" s="110"/>
      <c r="G59" s="110"/>
    </row>
    <row r="60" spans="2:5" ht="56.25" customHeight="1">
      <c r="B60" s="173" t="s">
        <v>582</v>
      </c>
      <c r="C60" s="161" t="s">
        <v>153</v>
      </c>
      <c r="D60" s="171" t="s">
        <v>346</v>
      </c>
      <c r="E60" s="109">
        <v>35</v>
      </c>
    </row>
    <row r="61" spans="2:5" ht="67.5" customHeight="1">
      <c r="B61" s="173" t="s">
        <v>583</v>
      </c>
      <c r="C61" s="161" t="s">
        <v>616</v>
      </c>
      <c r="D61" s="171" t="s">
        <v>223</v>
      </c>
      <c r="E61" s="109">
        <v>53</v>
      </c>
    </row>
    <row r="62" spans="1:5" ht="51.75" customHeight="1">
      <c r="A62" s="115"/>
      <c r="B62" s="173" t="s">
        <v>584</v>
      </c>
      <c r="C62" s="161" t="s">
        <v>326</v>
      </c>
      <c r="D62" s="172" t="s">
        <v>319</v>
      </c>
      <c r="E62" s="109">
        <v>36</v>
      </c>
    </row>
    <row r="63" spans="1:7" s="23" customFormat="1" ht="38.25">
      <c r="A63" s="2"/>
      <c r="B63" s="173" t="s">
        <v>320</v>
      </c>
      <c r="C63" s="161" t="s">
        <v>39</v>
      </c>
      <c r="D63" s="171" t="s">
        <v>205</v>
      </c>
      <c r="E63" s="109">
        <v>42</v>
      </c>
      <c r="F63" s="112"/>
      <c r="G63" s="112"/>
    </row>
    <row r="64" spans="2:5" ht="27.75" customHeight="1">
      <c r="B64" s="173" t="s">
        <v>296</v>
      </c>
      <c r="C64" s="161" t="s">
        <v>10</v>
      </c>
      <c r="D64" s="171" t="s">
        <v>160</v>
      </c>
      <c r="E64" s="109">
        <v>43</v>
      </c>
    </row>
    <row r="65" spans="1:5" ht="27.75" customHeight="1">
      <c r="A65" s="11"/>
      <c r="B65" s="173" t="s">
        <v>297</v>
      </c>
      <c r="C65" s="161" t="s">
        <v>11</v>
      </c>
      <c r="D65" s="171" t="s">
        <v>161</v>
      </c>
      <c r="E65" s="109">
        <v>44</v>
      </c>
    </row>
    <row r="66" spans="1:5" ht="40.5" customHeight="1">
      <c r="A66" s="11"/>
      <c r="B66" s="173" t="s">
        <v>298</v>
      </c>
      <c r="C66" s="161" t="s">
        <v>130</v>
      </c>
      <c r="D66" s="171" t="s">
        <v>162</v>
      </c>
      <c r="E66" s="109">
        <v>45</v>
      </c>
    </row>
    <row r="67" spans="2:7" s="11" customFormat="1" ht="27.75" customHeight="1">
      <c r="B67" s="173" t="s">
        <v>299</v>
      </c>
      <c r="C67" s="161" t="s">
        <v>171</v>
      </c>
      <c r="D67" s="171" t="s">
        <v>163</v>
      </c>
      <c r="E67" s="109">
        <v>46</v>
      </c>
      <c r="F67" s="110"/>
      <c r="G67" s="110"/>
    </row>
    <row r="68" spans="1:7" s="11" customFormat="1" ht="27.75" customHeight="1">
      <c r="A68" s="2"/>
      <c r="B68" s="169"/>
      <c r="C68" s="161" t="s">
        <v>327</v>
      </c>
      <c r="D68" s="171" t="s">
        <v>328</v>
      </c>
      <c r="E68" s="109">
        <v>48</v>
      </c>
      <c r="F68" s="110"/>
      <c r="G68" s="110"/>
    </row>
    <row r="69" spans="2:16" ht="39.75" customHeight="1">
      <c r="B69" s="169"/>
      <c r="C69" s="180" t="s">
        <v>209</v>
      </c>
      <c r="D69" s="183" t="s">
        <v>347</v>
      </c>
      <c r="E69" s="109">
        <v>49</v>
      </c>
      <c r="H69" s="11"/>
      <c r="I69" s="11"/>
      <c r="J69" s="11"/>
      <c r="K69" s="11"/>
      <c r="L69" s="11"/>
      <c r="M69" s="11"/>
      <c r="N69" s="11"/>
      <c r="O69" s="11"/>
      <c r="P69" s="11"/>
    </row>
    <row r="70" spans="2:16" ht="40.5" customHeight="1" thickBot="1">
      <c r="B70" s="184"/>
      <c r="C70" s="185" t="s">
        <v>624</v>
      </c>
      <c r="D70" s="186" t="s">
        <v>348</v>
      </c>
      <c r="E70" s="109">
        <v>50</v>
      </c>
      <c r="H70" s="11"/>
      <c r="I70" s="11"/>
      <c r="J70" s="11"/>
      <c r="K70" s="11"/>
      <c r="L70" s="11"/>
      <c r="M70" s="11"/>
      <c r="N70" s="11"/>
      <c r="O70" s="11"/>
      <c r="P70" s="11"/>
    </row>
    <row r="71" spans="2:4" ht="12.75">
      <c r="B71" s="108"/>
      <c r="C71" s="45"/>
      <c r="D71" s="45"/>
    </row>
    <row r="72" spans="2:4" ht="12.75">
      <c r="B72" s="108"/>
      <c r="C72" s="45"/>
      <c r="D72" s="45"/>
    </row>
    <row r="73" spans="2:4" ht="12.75">
      <c r="B73" s="108"/>
      <c r="C73" s="45"/>
      <c r="D73" s="45"/>
    </row>
    <row r="74" spans="2:4" ht="12.75">
      <c r="B74" s="108"/>
      <c r="C74" s="45"/>
      <c r="D74" s="45"/>
    </row>
    <row r="75" spans="2:4" ht="12.75">
      <c r="B75" s="108"/>
      <c r="C75" s="45"/>
      <c r="D75" s="45"/>
    </row>
    <row r="76" spans="2:4" ht="12.75">
      <c r="B76" s="108"/>
      <c r="C76" s="45"/>
      <c r="D76" s="45"/>
    </row>
    <row r="77" spans="2:4" ht="12.75">
      <c r="B77" s="108"/>
      <c r="C77" s="45"/>
      <c r="D77" s="45"/>
    </row>
    <row r="78" spans="2:4" ht="12.75">
      <c r="B78" s="108"/>
      <c r="C78" s="45"/>
      <c r="D78" s="45"/>
    </row>
    <row r="79" spans="2:4" ht="12.75">
      <c r="B79" s="108"/>
      <c r="C79" s="45"/>
      <c r="D79" s="45"/>
    </row>
    <row r="80" spans="2:4" ht="12.75">
      <c r="B80" s="108"/>
      <c r="C80" s="45"/>
      <c r="D80" s="45"/>
    </row>
    <row r="81" spans="2:4" ht="12.75">
      <c r="B81" s="108"/>
      <c r="C81" s="45"/>
      <c r="D81" s="45"/>
    </row>
    <row r="82" spans="2:4" ht="12.75">
      <c r="B82" s="108"/>
      <c r="C82" s="45"/>
      <c r="D82" s="45"/>
    </row>
    <row r="83" spans="2:4" ht="12.75">
      <c r="B83" s="108"/>
      <c r="C83" s="45"/>
      <c r="D83" s="45"/>
    </row>
    <row r="84" spans="2:4" ht="12.75">
      <c r="B84" s="108"/>
      <c r="C84" s="45"/>
      <c r="D84" s="45"/>
    </row>
    <row r="85" spans="2:4" ht="12.75">
      <c r="B85" s="108"/>
      <c r="C85" s="45"/>
      <c r="D85" s="45"/>
    </row>
    <row r="86" spans="2:4" ht="12.75">
      <c r="B86" s="108"/>
      <c r="C86" s="45"/>
      <c r="D86" s="45"/>
    </row>
    <row r="87" spans="2:4" ht="12.75">
      <c r="B87" s="108"/>
      <c r="C87" s="45"/>
      <c r="D87" s="45"/>
    </row>
    <row r="88" spans="2:4" ht="12.75">
      <c r="B88" s="108"/>
      <c r="C88" s="45"/>
      <c r="D88" s="45"/>
    </row>
    <row r="89" spans="2:4" ht="12.75">
      <c r="B89" s="108"/>
      <c r="C89" s="45"/>
      <c r="D89" s="45"/>
    </row>
    <row r="90" spans="2:4" ht="12.75">
      <c r="B90" s="108"/>
      <c r="C90" s="45"/>
      <c r="D90" s="45"/>
    </row>
    <row r="91" spans="2:4" ht="12.75">
      <c r="B91" s="108"/>
      <c r="C91" s="45"/>
      <c r="D91" s="45"/>
    </row>
    <row r="92" spans="2:4" ht="12.75">
      <c r="B92" s="108"/>
      <c r="C92" s="45"/>
      <c r="D92" s="45"/>
    </row>
    <row r="93" spans="2:4" ht="12.75">
      <c r="B93" s="108"/>
      <c r="C93" s="45"/>
      <c r="D93" s="45"/>
    </row>
    <row r="94" spans="2:4" ht="12.75">
      <c r="B94" s="108"/>
      <c r="C94" s="45"/>
      <c r="D94" s="45"/>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sheetPr codeName="Sheet13"/>
  <dimension ref="A1:DS69"/>
  <sheetViews>
    <sheetView showGridLines="0" zoomScale="75" zoomScaleNormal="75" zoomScaleSheetLayoutView="100" zoomScalePageLayoutView="0" workbookViewId="0" topLeftCell="A1">
      <selection activeCell="A1" sqref="A1"/>
    </sheetView>
  </sheetViews>
  <sheetFormatPr defaultColWidth="9.33203125" defaultRowHeight="12.75"/>
  <cols>
    <col min="1" max="2" width="2.5" style="52" customWidth="1"/>
    <col min="3" max="3" width="2" style="52" customWidth="1"/>
    <col min="4" max="4" width="2.33203125" style="52" customWidth="1"/>
    <col min="5" max="5" width="18.66015625" style="52" customWidth="1"/>
    <col min="6" max="6" width="19" style="52" customWidth="1"/>
    <col min="7" max="7" width="19.33203125" style="52" customWidth="1"/>
    <col min="8" max="8" width="19.83203125" style="52" customWidth="1"/>
    <col min="9" max="9" width="19.16015625" style="52" customWidth="1"/>
    <col min="10" max="10" width="21.5" style="52" customWidth="1"/>
    <col min="11" max="11" width="2.16015625" style="52" customWidth="1"/>
    <col min="12" max="12" width="8.33203125" style="52" customWidth="1"/>
    <col min="13" max="13" width="3.16015625" style="52" customWidth="1"/>
    <col min="14" max="14" width="23.33203125" style="52" customWidth="1"/>
    <col min="15" max="15" width="13.83203125" style="52" customWidth="1"/>
    <col min="16" max="16" width="19" style="52" customWidth="1"/>
    <col min="17" max="18" width="10.33203125" style="52" customWidth="1"/>
    <col min="19" max="19" width="5.83203125" style="52" customWidth="1"/>
    <col min="20" max="20" width="24.5" style="52" customWidth="1"/>
    <col min="21" max="21" width="6.33203125" style="52" customWidth="1"/>
    <col min="22" max="22" width="2.66015625" style="52" customWidth="1"/>
    <col min="23" max="23" width="16.5" style="52" customWidth="1"/>
    <col min="24" max="24" width="2.16015625" style="52" customWidth="1"/>
    <col min="25" max="25" width="12" style="52" bestFit="1" customWidth="1"/>
    <col min="26" max="26" width="8.16015625" style="52" customWidth="1"/>
    <col min="27" max="27" width="17" style="52" customWidth="1"/>
    <col min="28" max="28" width="2.33203125" style="52" customWidth="1"/>
    <col min="29" max="29" width="12" style="52" bestFit="1" customWidth="1"/>
    <col min="30" max="30" width="8.5" style="52" customWidth="1"/>
    <col min="31" max="31" width="16.66015625" style="52" customWidth="1"/>
    <col min="32" max="32" width="2.66015625" style="52" customWidth="1"/>
    <col min="33" max="33" width="12" style="52" bestFit="1" customWidth="1"/>
    <col min="34" max="34" width="8.83203125" style="52" customWidth="1"/>
    <col min="35" max="35" width="17.66015625" style="52" customWidth="1"/>
    <col min="36" max="36" width="2.16015625" style="52" customWidth="1"/>
    <col min="37" max="37" width="12" style="52" bestFit="1" customWidth="1"/>
    <col min="38" max="38" width="3.16015625" style="52" customWidth="1"/>
    <col min="39" max="39" width="11.83203125" style="52" customWidth="1"/>
    <col min="40" max="40" width="4" style="52" customWidth="1"/>
    <col min="41" max="41" width="11.5" style="52" customWidth="1"/>
    <col min="42" max="42" width="2.5" style="52" customWidth="1"/>
    <col min="43" max="43" width="9.33203125" style="52" customWidth="1"/>
    <col min="44" max="44" width="2" style="52" customWidth="1"/>
    <col min="45" max="45" width="2.66015625" style="52" customWidth="1"/>
    <col min="46" max="16384" width="9.33203125" style="52" customWidth="1"/>
  </cols>
  <sheetData>
    <row r="1" spans="1:123" ht="15.75">
      <c r="A1" s="50"/>
      <c r="B1" s="50"/>
      <c r="C1" s="50"/>
      <c r="D1" s="50"/>
      <c r="E1" s="51" t="s">
        <v>367</v>
      </c>
      <c r="F1" s="51"/>
      <c r="G1" s="51"/>
      <c r="H1" s="51"/>
      <c r="I1" s="51"/>
      <c r="J1" s="51"/>
      <c r="K1" s="51"/>
      <c r="L1" s="51"/>
      <c r="M1" s="51"/>
      <c r="N1" s="51"/>
      <c r="O1" s="51"/>
      <c r="P1" s="51"/>
      <c r="Q1" s="51"/>
      <c r="R1" s="51"/>
      <c r="S1" s="51"/>
      <c r="T1" s="51"/>
      <c r="U1" s="51"/>
      <c r="V1" s="51"/>
      <c r="W1" s="98"/>
      <c r="X1" s="98"/>
      <c r="Y1" s="98"/>
      <c r="Z1" s="98"/>
      <c r="AA1" s="98"/>
      <c r="AB1" s="98"/>
      <c r="AC1" s="98"/>
      <c r="AD1" s="98"/>
      <c r="AE1" s="98"/>
      <c r="AF1" s="98"/>
      <c r="AG1" s="98"/>
      <c r="AH1" s="98"/>
      <c r="AI1" s="98"/>
      <c r="AJ1" s="98"/>
      <c r="AK1" s="98"/>
      <c r="AL1" s="98"/>
      <c r="AM1" s="98"/>
      <c r="AN1" s="98"/>
      <c r="AO1" s="98"/>
      <c r="AP1" s="98"/>
      <c r="AQ1" s="98"/>
      <c r="AR1" s="98"/>
      <c r="AS1" s="98"/>
      <c r="AT1" s="9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s="22" customFormat="1" ht="33" customHeight="1">
      <c r="A2" s="113"/>
      <c r="B2" s="113"/>
      <c r="C2" s="113"/>
      <c r="D2" s="113"/>
      <c r="E2" s="717" t="s">
        <v>237</v>
      </c>
      <c r="F2" s="717"/>
      <c r="G2" s="717"/>
      <c r="H2" s="717"/>
      <c r="I2" s="717"/>
      <c r="J2" s="717"/>
      <c r="K2" s="717"/>
      <c r="L2" s="717"/>
      <c r="M2" s="717"/>
      <c r="N2" s="717"/>
      <c r="O2" s="717"/>
      <c r="P2" s="717"/>
      <c r="Q2" s="717"/>
      <c r="R2" s="717"/>
      <c r="S2" s="717"/>
      <c r="T2" s="717"/>
      <c r="U2" s="717"/>
      <c r="V2" s="717"/>
      <c r="W2" s="101"/>
      <c r="X2" s="101"/>
      <c r="Y2" s="101"/>
      <c r="Z2" s="101"/>
      <c r="AA2" s="101"/>
      <c r="AB2" s="101"/>
      <c r="AC2" s="101"/>
      <c r="AD2" s="101"/>
      <c r="AE2" s="101"/>
      <c r="AF2" s="58"/>
      <c r="AG2" s="100"/>
      <c r="AH2" s="117"/>
      <c r="AI2" s="117"/>
      <c r="AJ2" s="117"/>
      <c r="AK2" s="117"/>
      <c r="AL2" s="117"/>
      <c r="AM2" s="117"/>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1:123" ht="12.75">
      <c r="A3" s="50"/>
      <c r="B3" s="50"/>
      <c r="C3" s="50"/>
      <c r="D3" s="50"/>
      <c r="E3" s="187"/>
      <c r="F3" s="188"/>
      <c r="G3" s="188"/>
      <c r="H3" s="189"/>
      <c r="I3" s="190"/>
      <c r="J3" s="18"/>
      <c r="K3" s="43"/>
      <c r="L3" s="42"/>
      <c r="M3" s="43"/>
      <c r="N3" s="42"/>
      <c r="O3" s="43"/>
      <c r="P3" s="42"/>
      <c r="Q3" s="43"/>
      <c r="R3" s="43"/>
      <c r="S3" s="43"/>
      <c r="T3" s="43"/>
      <c r="U3" s="43"/>
      <c r="V3" s="18"/>
      <c r="W3" s="43"/>
      <c r="X3" s="18"/>
      <c r="Y3" s="43"/>
      <c r="Z3" s="18"/>
      <c r="AA3" s="43"/>
      <c r="AB3" s="18"/>
      <c r="AC3" s="43"/>
      <c r="AD3" s="18"/>
      <c r="AE3" s="43"/>
      <c r="AF3" s="42"/>
      <c r="AG3" s="43"/>
      <c r="AH3" s="18"/>
      <c r="AI3" s="43"/>
      <c r="AJ3" s="18"/>
      <c r="AK3" s="43"/>
      <c r="AL3" s="18"/>
      <c r="AM3" s="44"/>
      <c r="AN3" s="99"/>
      <c r="AO3" s="99"/>
      <c r="AP3" s="99"/>
      <c r="AQ3" s="99"/>
      <c r="AR3" s="99"/>
      <c r="AS3" s="99"/>
      <c r="AT3" s="99"/>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row>
    <row r="4" spans="1:123" ht="15.75">
      <c r="A4" s="50"/>
      <c r="B4" s="50"/>
      <c r="C4" s="50"/>
      <c r="D4" s="50"/>
      <c r="E4" s="718" t="s">
        <v>324</v>
      </c>
      <c r="F4" s="718"/>
      <c r="G4" s="718"/>
      <c r="H4" s="718"/>
      <c r="I4" s="718"/>
      <c r="J4" s="718"/>
      <c r="K4" s="718"/>
      <c r="L4" s="718"/>
      <c r="M4" s="718"/>
      <c r="N4" s="718"/>
      <c r="O4" s="718"/>
      <c r="P4" s="718"/>
      <c r="Q4" s="718"/>
      <c r="R4" s="718"/>
      <c r="S4" s="718"/>
      <c r="T4" s="718"/>
      <c r="U4" s="718"/>
      <c r="V4" s="718"/>
      <c r="W4" s="98"/>
      <c r="X4" s="98"/>
      <c r="Y4" s="98"/>
      <c r="Z4" s="98"/>
      <c r="AA4" s="98"/>
      <c r="AB4" s="98"/>
      <c r="AC4" s="98"/>
      <c r="AD4" s="98"/>
      <c r="AE4" s="98"/>
      <c r="AF4" s="98"/>
      <c r="AG4" s="98"/>
      <c r="AH4" s="98"/>
      <c r="AI4" s="98"/>
      <c r="AJ4" s="98"/>
      <c r="AK4" s="98"/>
      <c r="AL4" s="98"/>
      <c r="AM4" s="98"/>
      <c r="AN4" s="98"/>
      <c r="AO4" s="98"/>
      <c r="AP4" s="98"/>
      <c r="AQ4" s="98"/>
      <c r="AR4" s="98"/>
      <c r="AS4" s="98"/>
      <c r="AT4" s="99"/>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3.5" thickBot="1">
      <c r="A5" s="50"/>
      <c r="B5" s="50"/>
      <c r="C5" s="50"/>
      <c r="D5" s="50"/>
      <c r="E5" s="50"/>
      <c r="F5" s="50"/>
      <c r="G5" s="50"/>
      <c r="H5" s="50"/>
      <c r="I5" s="50"/>
      <c r="J5" s="50"/>
      <c r="K5" s="50"/>
      <c r="L5" s="50"/>
      <c r="M5" s="50"/>
      <c r="N5" s="50"/>
      <c r="O5" s="50"/>
      <c r="P5" s="50"/>
      <c r="Q5" s="50"/>
      <c r="R5" s="50"/>
      <c r="S5" s="50"/>
      <c r="T5" s="50"/>
      <c r="U5" s="50"/>
      <c r="V5" s="50"/>
      <c r="W5" s="99"/>
      <c r="X5" s="99"/>
      <c r="Y5" s="99"/>
      <c r="Z5" s="99"/>
      <c r="AA5" s="99"/>
      <c r="AB5" s="99"/>
      <c r="AC5" s="99"/>
      <c r="AD5" s="99"/>
      <c r="AE5" s="99"/>
      <c r="AF5" s="99"/>
      <c r="AG5" s="99"/>
      <c r="AH5" s="99"/>
      <c r="AI5" s="99"/>
      <c r="AJ5" s="99"/>
      <c r="AK5" s="99"/>
      <c r="AL5" s="99"/>
      <c r="AM5" s="99"/>
      <c r="AN5" s="99"/>
      <c r="AO5" s="99"/>
      <c r="AP5" s="99"/>
      <c r="AQ5" s="99"/>
      <c r="AR5" s="99"/>
      <c r="AS5" s="99"/>
      <c r="AT5" s="99"/>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2.75" customHeight="1">
      <c r="A6" s="50"/>
      <c r="B6" s="50"/>
      <c r="C6" s="62"/>
      <c r="D6" s="72"/>
      <c r="E6" s="63"/>
      <c r="F6" s="64"/>
      <c r="G6" s="64"/>
      <c r="H6" s="63"/>
      <c r="I6" s="64"/>
      <c r="J6" s="64"/>
      <c r="K6" s="64"/>
      <c r="L6" s="64"/>
      <c r="M6" s="64"/>
      <c r="N6" s="64"/>
      <c r="O6" s="64"/>
      <c r="P6" s="65"/>
      <c r="Q6" s="64"/>
      <c r="R6" s="64"/>
      <c r="S6" s="64"/>
      <c r="T6" s="64"/>
      <c r="U6" s="64"/>
      <c r="V6" s="66"/>
      <c r="W6" s="59"/>
      <c r="X6" s="59"/>
      <c r="Y6" s="99"/>
      <c r="Z6" s="99"/>
      <c r="AA6" s="99"/>
      <c r="AB6" s="99"/>
      <c r="AC6" s="99"/>
      <c r="AD6" s="99"/>
      <c r="AE6" s="99"/>
      <c r="AF6" s="99"/>
      <c r="AG6" s="99"/>
      <c r="AH6" s="99"/>
      <c r="AI6" s="99"/>
      <c r="AJ6" s="99"/>
      <c r="AK6" s="99"/>
      <c r="AL6" s="99"/>
      <c r="AM6" s="99"/>
      <c r="AN6" s="99"/>
      <c r="AO6" s="99"/>
      <c r="AP6" s="99"/>
      <c r="AQ6" s="99"/>
      <c r="AR6" s="99"/>
      <c r="AS6" s="99"/>
      <c r="AT6" s="99"/>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 r="A7" s="50"/>
      <c r="B7" s="50"/>
      <c r="C7" s="67"/>
      <c r="D7" s="74"/>
      <c r="E7" s="75"/>
      <c r="F7" s="76"/>
      <c r="G7" s="76"/>
      <c r="H7" s="76"/>
      <c r="I7" s="76"/>
      <c r="J7" s="76"/>
      <c r="K7" s="76"/>
      <c r="L7" s="76"/>
      <c r="M7" s="76"/>
      <c r="N7" s="76"/>
      <c r="O7" s="76"/>
      <c r="P7" s="76"/>
      <c r="Q7" s="76"/>
      <c r="R7" s="77"/>
      <c r="S7" s="76"/>
      <c r="T7" s="76"/>
      <c r="U7" s="78"/>
      <c r="V7" s="68"/>
      <c r="W7" s="99"/>
      <c r="X7" s="99"/>
      <c r="Y7" s="99"/>
      <c r="Z7" s="99"/>
      <c r="AA7" s="99"/>
      <c r="AB7" s="99"/>
      <c r="AC7" s="99"/>
      <c r="AD7" s="99"/>
      <c r="AE7" s="99"/>
      <c r="AF7" s="99"/>
      <c r="AG7" s="99"/>
      <c r="AH7" s="99"/>
      <c r="AI7" s="99"/>
      <c r="AJ7" s="99"/>
      <c r="AK7" s="99"/>
      <c r="AL7" s="99"/>
      <c r="AM7" s="99"/>
      <c r="AN7" s="99"/>
      <c r="AO7" s="99"/>
      <c r="AP7" s="99"/>
      <c r="AQ7" s="99"/>
      <c r="AR7" s="99"/>
      <c r="AS7" s="99"/>
      <c r="AT7" s="9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02" ht="43.5" customHeight="1">
      <c r="A8" s="50"/>
      <c r="B8" s="50"/>
      <c r="C8" s="67"/>
      <c r="D8" s="79"/>
      <c r="E8" s="55"/>
      <c r="F8" s="89"/>
      <c r="G8" s="90" t="str">
        <f>'W1'!D8&amp;" (W1,1)"</f>
        <v>Precipitation                               (W1,1)</v>
      </c>
      <c r="H8" s="90" t="str">
        <f>'W1'!D9&amp;" (W1,2)"</f>
        <v>Actual evapotranspiration (W1,2)</v>
      </c>
      <c r="I8" s="89"/>
      <c r="J8" s="89"/>
      <c r="K8" s="89"/>
      <c r="L8" s="89"/>
      <c r="M8" s="89"/>
      <c r="N8" s="89"/>
      <c r="O8" s="89"/>
      <c r="P8" s="89"/>
      <c r="Q8" s="89"/>
      <c r="R8" s="89"/>
      <c r="S8" s="89"/>
      <c r="T8" s="89"/>
      <c r="U8" s="80"/>
      <c r="V8" s="68"/>
      <c r="W8" s="99"/>
      <c r="X8" s="99"/>
      <c r="Y8" s="99"/>
      <c r="Z8" s="99"/>
      <c r="AA8" s="99"/>
      <c r="AB8" s="99"/>
      <c r="AC8" s="99"/>
      <c r="AD8" s="99"/>
      <c r="AE8" s="99"/>
      <c r="AF8" s="99"/>
      <c r="AG8" s="99"/>
      <c r="AH8" s="99"/>
      <c r="AI8" s="99"/>
      <c r="AJ8" s="99"/>
      <c r="AK8" s="99"/>
      <c r="AL8" s="99"/>
      <c r="AM8" s="99"/>
      <c r="AN8" s="99"/>
      <c r="AO8" s="99"/>
      <c r="AP8" s="99"/>
      <c r="AQ8" s="99"/>
      <c r="AR8" s="99"/>
      <c r="AS8" s="99"/>
      <c r="AT8" s="99"/>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row>
    <row r="9" spans="1:102" ht="12.75">
      <c r="A9" s="50"/>
      <c r="B9" s="50"/>
      <c r="C9" s="67"/>
      <c r="D9" s="79"/>
      <c r="E9" s="91"/>
      <c r="F9" s="89"/>
      <c r="G9" s="92"/>
      <c r="H9" s="92"/>
      <c r="I9" s="89"/>
      <c r="J9" s="89"/>
      <c r="K9" s="89"/>
      <c r="L9" s="89"/>
      <c r="M9" s="89"/>
      <c r="N9" s="89"/>
      <c r="O9" s="89"/>
      <c r="P9" s="89"/>
      <c r="Q9" s="89"/>
      <c r="R9" s="89"/>
      <c r="S9" s="89"/>
      <c r="T9" s="89"/>
      <c r="U9" s="80"/>
      <c r="V9" s="68"/>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02" s="53" customFormat="1" ht="8.25" customHeight="1">
      <c r="A10" s="50"/>
      <c r="B10" s="50"/>
      <c r="C10" s="67"/>
      <c r="D10" s="79"/>
      <c r="E10" s="55"/>
      <c r="F10" s="92"/>
      <c r="G10" s="92"/>
      <c r="H10" s="92"/>
      <c r="I10" s="89"/>
      <c r="J10" s="89"/>
      <c r="K10" s="89"/>
      <c r="L10" s="89"/>
      <c r="M10" s="89"/>
      <c r="N10" s="89"/>
      <c r="O10" s="89"/>
      <c r="P10" s="89"/>
      <c r="Q10" s="89"/>
      <c r="R10" s="89"/>
      <c r="S10" s="89"/>
      <c r="T10" s="89"/>
      <c r="U10" s="80"/>
      <c r="V10" s="68"/>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02" ht="12.75">
      <c r="A11" s="50"/>
      <c r="B11" s="50"/>
      <c r="C11" s="67"/>
      <c r="D11" s="79"/>
      <c r="E11" s="89"/>
      <c r="F11" s="89"/>
      <c r="G11" s="89"/>
      <c r="H11" s="89"/>
      <c r="I11" s="89"/>
      <c r="J11" s="89"/>
      <c r="K11" s="89"/>
      <c r="L11" s="89"/>
      <c r="M11" s="89"/>
      <c r="N11" s="89"/>
      <c r="O11" s="89"/>
      <c r="P11" s="89"/>
      <c r="Q11" s="89"/>
      <c r="R11" s="89"/>
      <c r="S11" s="89"/>
      <c r="T11" s="89"/>
      <c r="U11" s="80"/>
      <c r="V11" s="68"/>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02" ht="6" customHeight="1">
      <c r="A12" s="50"/>
      <c r="B12" s="50"/>
      <c r="C12" s="67"/>
      <c r="D12" s="79"/>
      <c r="E12" s="55"/>
      <c r="F12" s="89"/>
      <c r="G12" s="89"/>
      <c r="H12" s="89"/>
      <c r="I12" s="89"/>
      <c r="J12" s="89"/>
      <c r="K12" s="89"/>
      <c r="L12" s="89"/>
      <c r="M12" s="89"/>
      <c r="N12" s="89"/>
      <c r="O12" s="89"/>
      <c r="P12" s="89"/>
      <c r="Q12" s="89"/>
      <c r="R12" s="89"/>
      <c r="S12" s="89"/>
      <c r="T12" s="89"/>
      <c r="U12" s="80"/>
      <c r="V12" s="68"/>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02" ht="27" customHeight="1">
      <c r="A13" s="50"/>
      <c r="B13" s="50"/>
      <c r="C13" s="67"/>
      <c r="D13" s="79"/>
      <c r="E13" s="55"/>
      <c r="F13" s="89"/>
      <c r="G13" s="719" t="str">
        <f>LEFT('W1'!D10,LEN('W1'!D10)-7)&amp;" (W1,3)"</f>
        <v>Internal flow (W1,3)</v>
      </c>
      <c r="H13" s="720"/>
      <c r="I13" s="89"/>
      <c r="K13" s="89"/>
      <c r="L13" s="89"/>
      <c r="M13" s="89"/>
      <c r="N13" s="89"/>
      <c r="O13" s="89"/>
      <c r="P13" s="732" t="s">
        <v>88</v>
      </c>
      <c r="Q13" s="713" t="s">
        <v>96</v>
      </c>
      <c r="R13" s="714"/>
      <c r="S13" s="89"/>
      <c r="T13" s="89"/>
      <c r="U13" s="80"/>
      <c r="V13" s="68"/>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02" s="53" customFormat="1" ht="30" customHeight="1">
      <c r="A14" s="50"/>
      <c r="B14" s="50"/>
      <c r="C14" s="67"/>
      <c r="D14" s="79"/>
      <c r="E14" s="55"/>
      <c r="F14" s="92"/>
      <c r="G14" s="92"/>
      <c r="H14" s="92"/>
      <c r="I14" s="92"/>
      <c r="J14" s="729" t="str">
        <f>'W1'!D13&amp;" (W1,6)"</f>
        <v>Outflow of surface and groundwaters to neighbouring countries (W1,6)</v>
      </c>
      <c r="K14" s="730"/>
      <c r="L14" s="731"/>
      <c r="M14" s="92"/>
      <c r="N14" s="89"/>
      <c r="O14" s="89"/>
      <c r="P14" s="733"/>
      <c r="Q14" s="715"/>
      <c r="R14" s="716"/>
      <c r="S14" s="89"/>
      <c r="T14" s="89"/>
      <c r="U14" s="80"/>
      <c r="V14" s="68"/>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02" ht="46.5" customHeight="1">
      <c r="A15" s="50"/>
      <c r="B15" s="50"/>
      <c r="C15" s="67"/>
      <c r="D15" s="79"/>
      <c r="E15" s="90" t="str">
        <f>'W1'!D11&amp;" (W1,4)"</f>
        <v>Inflow of surface and groundwaters from neighbouring countries (W1,4)</v>
      </c>
      <c r="F15" s="89"/>
      <c r="G15" s="118" t="str">
        <f>LEFT('W1'!D12,LEN('W1'!D12)-7)&amp;" (W1,5)"</f>
        <v>Renewable freshwater resources (W1,5)</v>
      </c>
      <c r="H15" s="89"/>
      <c r="K15" s="89"/>
      <c r="L15" s="89"/>
      <c r="M15" s="89"/>
      <c r="N15" s="89"/>
      <c r="O15" s="89"/>
      <c r="P15" s="89"/>
      <c r="Q15" s="89"/>
      <c r="R15" s="57"/>
      <c r="S15" s="89"/>
      <c r="T15" s="89"/>
      <c r="U15" s="80"/>
      <c r="V15" s="68"/>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02" ht="24.75" customHeight="1">
      <c r="A16" s="50"/>
      <c r="B16" s="50"/>
      <c r="C16" s="67"/>
      <c r="D16" s="79"/>
      <c r="E16" s="55"/>
      <c r="F16" s="89"/>
      <c r="G16" s="89"/>
      <c r="H16" s="89"/>
      <c r="I16" s="89"/>
      <c r="J16" s="729" t="str">
        <f>'W1'!D16&amp;" (W1,9)"</f>
        <v>Outflow of surface and groundwaters to the sea (W1,9)</v>
      </c>
      <c r="K16" s="730"/>
      <c r="L16" s="731"/>
      <c r="M16" s="89"/>
      <c r="N16" s="89"/>
      <c r="O16" s="89"/>
      <c r="P16" s="89"/>
      <c r="Q16" s="89"/>
      <c r="R16" s="89"/>
      <c r="S16" s="89"/>
      <c r="T16" s="89"/>
      <c r="U16" s="80"/>
      <c r="V16" s="68"/>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9.75" customHeight="1">
      <c r="A17" s="50"/>
      <c r="B17" s="50"/>
      <c r="C17" s="67"/>
      <c r="D17" s="79"/>
      <c r="E17" s="55"/>
      <c r="F17" s="89"/>
      <c r="G17" s="89"/>
      <c r="H17" s="89"/>
      <c r="I17" s="89"/>
      <c r="J17" s="89"/>
      <c r="K17" s="89"/>
      <c r="L17" s="89"/>
      <c r="M17" s="89"/>
      <c r="N17" s="89"/>
      <c r="O17" s="89"/>
      <c r="P17" s="89"/>
      <c r="Q17" s="89"/>
      <c r="R17" s="89"/>
      <c r="S17" s="89"/>
      <c r="T17" s="89"/>
      <c r="U17" s="80"/>
      <c r="V17" s="68"/>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102" ht="12.75">
      <c r="A18" s="50"/>
      <c r="B18" s="50"/>
      <c r="C18" s="67"/>
      <c r="D18" s="79"/>
      <c r="E18" s="723" t="str">
        <f>'W2'!D11</f>
        <v>of which abstracted by:</v>
      </c>
      <c r="F18" s="724"/>
      <c r="G18" s="724"/>
      <c r="H18" s="724"/>
      <c r="I18" s="724"/>
      <c r="J18" s="725"/>
      <c r="K18" s="89"/>
      <c r="L18" s="89"/>
      <c r="M18" s="89"/>
      <c r="N18" s="89"/>
      <c r="O18" s="89"/>
      <c r="P18" s="89"/>
      <c r="Q18" s="89"/>
      <c r="R18" s="89"/>
      <c r="S18" s="89"/>
      <c r="T18" s="89"/>
      <c r="U18" s="80"/>
      <c r="V18" s="68"/>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row>
    <row r="19" spans="1:102" ht="39.75" customHeight="1">
      <c r="A19" s="50"/>
      <c r="B19" s="50"/>
      <c r="C19" s="67"/>
      <c r="D19" s="79"/>
      <c r="E19" s="89"/>
      <c r="F19" s="89"/>
      <c r="G19" s="89"/>
      <c r="H19" s="89"/>
      <c r="I19" s="89"/>
      <c r="J19" s="89"/>
      <c r="K19" s="89"/>
      <c r="L19" s="89"/>
      <c r="M19" s="89"/>
      <c r="N19" s="89"/>
      <c r="O19" s="89"/>
      <c r="P19" s="89"/>
      <c r="Q19" s="89"/>
      <c r="R19" s="89"/>
      <c r="S19" s="89"/>
      <c r="T19" s="89"/>
      <c r="U19" s="80"/>
      <c r="V19" s="68"/>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row>
    <row r="20" spans="1:102" s="54" customFormat="1" ht="86.25" customHeight="1">
      <c r="A20" s="50"/>
      <c r="B20" s="50"/>
      <c r="C20" s="67"/>
      <c r="D20" s="79"/>
      <c r="E20" s="93" t="str">
        <f>LEFT('W2'!D12,LEN('W2'!D12)-8)&amp;"W2,4)"</f>
        <v>Water supply industry (W2,4)</v>
      </c>
      <c r="F20" s="93" t="str">
        <f>LEFT('W2'!D13,LEN('W2'!D13))&amp;"(W2,5)"</f>
        <v>Households (W2,5)</v>
      </c>
      <c r="G20" s="93" t="str">
        <f>LEFT('W2'!D14,LEN('W2'!D14))&amp;" (W2,6)"</f>
        <v>Agriculture, forestry and fishing (ISIC 01-03) (W2,6)</v>
      </c>
      <c r="H20" s="93" t="str">
        <f>LEFT('W2'!D15,LEN('W2'!D15))&amp;" (W2,7)"</f>
        <v>Manufacturing (ISIC 10-33) (W2,7)</v>
      </c>
      <c r="I20" s="93" t="str">
        <f>LEFT('W2'!D16,LEN('W2'!D16))&amp;" (W2,8)"</f>
        <v>Electricity industry (ISIC 351) (W2,8)</v>
      </c>
      <c r="J20" s="93" t="str">
        <f>LEFT('W2'!D17,LEN('W2'!D17))&amp;" (W2,9)"</f>
        <v>Other economic activities (W2,9)</v>
      </c>
      <c r="K20" s="55"/>
      <c r="L20" s="55"/>
      <c r="M20" s="55"/>
      <c r="N20" s="55"/>
      <c r="O20" s="55"/>
      <c r="P20" s="42"/>
      <c r="Q20" s="55"/>
      <c r="R20" s="89"/>
      <c r="S20" s="89"/>
      <c r="T20" s="89"/>
      <c r="U20" s="80"/>
      <c r="V20" s="68"/>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row>
    <row r="21" spans="1:102" s="53" customFormat="1" ht="13.5" customHeight="1">
      <c r="A21" s="50"/>
      <c r="B21" s="50"/>
      <c r="C21" s="67"/>
      <c r="D21" s="79"/>
      <c r="E21" s="55"/>
      <c r="F21" s="92"/>
      <c r="G21" s="92"/>
      <c r="H21" s="92"/>
      <c r="I21" s="92"/>
      <c r="J21" s="92"/>
      <c r="K21" s="92"/>
      <c r="L21" s="92"/>
      <c r="M21" s="92"/>
      <c r="N21" s="92"/>
      <c r="O21" s="92"/>
      <c r="P21" s="92"/>
      <c r="Q21" s="92"/>
      <c r="R21" s="89"/>
      <c r="S21" s="89"/>
      <c r="T21" s="89"/>
      <c r="U21" s="80"/>
      <c r="V21" s="68"/>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row>
    <row r="22" spans="1:102" ht="45" customHeight="1">
      <c r="A22" s="50"/>
      <c r="B22" s="50"/>
      <c r="C22" s="67"/>
      <c r="D22" s="79"/>
      <c r="E22" s="726" t="str">
        <f>LEFT('W2'!D10,LEN('W2'!D10)-7)&amp;" (W2,3)"</f>
        <v>Freshwater abstracted (W2,3)</v>
      </c>
      <c r="F22" s="727"/>
      <c r="G22" s="727"/>
      <c r="H22" s="727"/>
      <c r="I22" s="727"/>
      <c r="J22" s="728"/>
      <c r="K22" s="89"/>
      <c r="L22" s="89"/>
      <c r="M22" s="89"/>
      <c r="N22" s="42"/>
      <c r="O22" s="89"/>
      <c r="P22" s="89"/>
      <c r="Q22" s="89"/>
      <c r="R22" s="89"/>
      <c r="S22" s="89"/>
      <c r="T22" s="42"/>
      <c r="U22" s="81"/>
      <c r="V22" s="68"/>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row>
    <row r="23" spans="1:102" ht="21" customHeight="1">
      <c r="A23" s="50"/>
      <c r="B23" s="50"/>
      <c r="C23" s="67"/>
      <c r="D23" s="79"/>
      <c r="E23" s="42"/>
      <c r="F23" s="42"/>
      <c r="G23" s="42"/>
      <c r="H23" s="42"/>
      <c r="I23" s="42"/>
      <c r="J23" s="42"/>
      <c r="K23" s="89"/>
      <c r="L23" s="89"/>
      <c r="M23" s="89"/>
      <c r="N23" s="42"/>
      <c r="O23" s="89"/>
      <c r="P23" s="89"/>
      <c r="Q23" s="89"/>
      <c r="R23" s="89"/>
      <c r="S23" s="89"/>
      <c r="T23" s="119"/>
      <c r="U23" s="81"/>
      <c r="V23" s="68"/>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row>
    <row r="24" spans="1:102" ht="45" customHeight="1">
      <c r="A24" s="50"/>
      <c r="B24" s="50"/>
      <c r="C24" s="67"/>
      <c r="D24" s="79"/>
      <c r="E24" s="42"/>
      <c r="F24" s="42"/>
      <c r="G24" s="42"/>
      <c r="H24" s="42"/>
      <c r="I24" s="721" t="str">
        <f>'W2'!D18&amp;" (W2,10)"</f>
        <v>Desalinated water (W2,10)</v>
      </c>
      <c r="J24" s="722"/>
      <c r="L24" s="89"/>
      <c r="M24" s="89"/>
      <c r="N24" s="42"/>
      <c r="O24" s="89"/>
      <c r="P24" s="89"/>
      <c r="Q24" s="89"/>
      <c r="R24" s="89"/>
      <c r="S24" s="89"/>
      <c r="T24" s="93" t="str">
        <f>'W2'!D26&amp;" (W2,17)"</f>
        <v>    Households  (W2,17)</v>
      </c>
      <c r="U24" s="81"/>
      <c r="V24" s="6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row>
    <row r="25" spans="1:102" ht="9.75" customHeight="1">
      <c r="A25" s="50"/>
      <c r="B25" s="50"/>
      <c r="C25" s="67"/>
      <c r="D25" s="79"/>
      <c r="E25" s="55"/>
      <c r="F25" s="89"/>
      <c r="G25" s="89"/>
      <c r="H25" s="89"/>
      <c r="I25" s="89"/>
      <c r="J25" s="89"/>
      <c r="K25" s="89"/>
      <c r="L25" s="89"/>
      <c r="M25" s="89"/>
      <c r="N25" s="711" t="str">
        <f>LEFT('W2'!D22,LEN('W2'!D22)-17)&amp;" (W2,14)"</f>
        <v>Total freshwater available for use (W2,14)</v>
      </c>
      <c r="O25" s="89"/>
      <c r="P25" s="711" t="str">
        <f>LEFT('W2'!D24,LEN('W2'!D24)-9)&amp;" (W2,16)"</f>
        <v>Total freshwater use (W2,16)</v>
      </c>
      <c r="Q25" s="89"/>
      <c r="R25" s="89"/>
      <c r="S25" s="89"/>
      <c r="T25" s="89"/>
      <c r="U25" s="80"/>
      <c r="V25" s="68"/>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row>
    <row r="26" spans="1:102" ht="46.5" customHeight="1">
      <c r="A26" s="50"/>
      <c r="B26" s="50"/>
      <c r="C26" s="67"/>
      <c r="D26" s="79"/>
      <c r="E26" s="55"/>
      <c r="F26" s="89"/>
      <c r="G26" s="89"/>
      <c r="H26" s="89"/>
      <c r="I26" s="721" t="str">
        <f>'W2'!D19&amp;" (W2,11)"</f>
        <v>Reused water (W2,11)</v>
      </c>
      <c r="J26" s="722"/>
      <c r="K26" s="89"/>
      <c r="L26" s="42"/>
      <c r="M26" s="89"/>
      <c r="N26" s="712"/>
      <c r="O26" s="89"/>
      <c r="P26" s="712"/>
      <c r="Q26" s="709" t="str">
        <f>'W2'!D25</f>
        <v>of which used by:</v>
      </c>
      <c r="R26" s="710"/>
      <c r="S26" s="120"/>
      <c r="T26" s="93" t="str">
        <f>'W2'!D27&amp;" (W2,18)"</f>
        <v>    Agriculture, forestry and fishing (ISIC 01-03) (W2,18)</v>
      </c>
      <c r="U26" s="80"/>
      <c r="V26" s="6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102" ht="8.25" customHeight="1">
      <c r="A27" s="50"/>
      <c r="B27" s="50"/>
      <c r="C27" s="67"/>
      <c r="D27" s="79"/>
      <c r="E27" s="89"/>
      <c r="F27" s="89"/>
      <c r="G27" s="89"/>
      <c r="H27" s="89"/>
      <c r="I27" s="89"/>
      <c r="J27" s="89"/>
      <c r="K27" s="89"/>
      <c r="L27" s="89"/>
      <c r="M27" s="89"/>
      <c r="N27" s="89"/>
      <c r="O27" s="89"/>
      <c r="P27" s="89"/>
      <c r="Q27" s="89"/>
      <c r="R27" s="89"/>
      <c r="S27" s="89"/>
      <c r="T27" s="89"/>
      <c r="U27" s="80"/>
      <c r="V27" s="68"/>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02" ht="41.25" customHeight="1">
      <c r="A28" s="50"/>
      <c r="B28" s="50"/>
      <c r="C28" s="67"/>
      <c r="D28" s="79"/>
      <c r="H28" s="121"/>
      <c r="I28" s="721" t="str">
        <f>'W2'!D20&amp;" - "&amp;'W2'!D21&amp;" (= W2,12 - W2,13)"</f>
        <v>Imports of water - Exports of water (= W2,12 - W2,13)</v>
      </c>
      <c r="J28" s="722"/>
      <c r="K28" s="89"/>
      <c r="L28" s="89"/>
      <c r="M28" s="89"/>
      <c r="N28" s="42"/>
      <c r="O28" s="89"/>
      <c r="P28" s="89"/>
      <c r="Q28" s="89"/>
      <c r="R28" s="89"/>
      <c r="S28" s="89"/>
      <c r="T28" s="93" t="str">
        <f>'W2'!D29&amp;" (W2,20)"</f>
        <v>    Manufacturing (ISIC 10-33) (W2,20)</v>
      </c>
      <c r="U28" s="80"/>
      <c r="V28" s="68"/>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row>
    <row r="29" spans="1:102" ht="13.5" customHeight="1">
      <c r="A29" s="50"/>
      <c r="B29" s="50"/>
      <c r="C29" s="67"/>
      <c r="D29" s="79"/>
      <c r="E29" s="94"/>
      <c r="H29" s="94"/>
      <c r="I29" s="89"/>
      <c r="J29" s="89"/>
      <c r="K29" s="89"/>
      <c r="L29" s="89"/>
      <c r="M29" s="89"/>
      <c r="N29" s="89"/>
      <c r="O29" s="707" t="str">
        <f>'W2'!D23&amp;" (W2,15)"</f>
        <v>Losses during transport (W2,15)</v>
      </c>
      <c r="P29" s="89"/>
      <c r="Q29" s="89"/>
      <c r="R29" s="89"/>
      <c r="S29" s="89"/>
      <c r="T29" s="89"/>
      <c r="U29" s="80"/>
      <c r="V29" s="6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102" ht="44.25" customHeight="1">
      <c r="A30" s="50"/>
      <c r="B30" s="50"/>
      <c r="C30" s="67"/>
      <c r="D30" s="79"/>
      <c r="E30" s="89"/>
      <c r="F30" s="89"/>
      <c r="G30" s="89"/>
      <c r="H30" s="89"/>
      <c r="I30" s="89"/>
      <c r="J30" s="89"/>
      <c r="K30" s="89"/>
      <c r="L30" s="89"/>
      <c r="M30" s="89"/>
      <c r="N30" s="42"/>
      <c r="O30" s="708"/>
      <c r="Q30" s="42"/>
      <c r="R30" s="89"/>
      <c r="S30" s="89"/>
      <c r="T30" s="93" t="str">
        <f>'W2'!D30&amp;" (W2,21)"</f>
        <v>    Electricity industry (ISIC 351) (W2,21)</v>
      </c>
      <c r="U30" s="80"/>
      <c r="V30" s="6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row>
    <row r="31" spans="1:102" ht="12.75">
      <c r="A31" s="50"/>
      <c r="B31" s="50"/>
      <c r="C31" s="67"/>
      <c r="D31" s="79"/>
      <c r="E31" s="89"/>
      <c r="F31" s="89"/>
      <c r="G31" s="89"/>
      <c r="H31" s="89"/>
      <c r="I31" s="89"/>
      <c r="J31" s="89"/>
      <c r="K31" s="89"/>
      <c r="L31" s="89"/>
      <c r="M31" s="89"/>
      <c r="N31" s="89"/>
      <c r="O31" s="89"/>
      <c r="P31" s="89"/>
      <c r="Q31" s="89"/>
      <c r="R31" s="89"/>
      <c r="S31" s="89"/>
      <c r="T31" s="89"/>
      <c r="U31" s="80"/>
      <c r="V31" s="6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row>
    <row r="32" spans="1:102" ht="33" customHeight="1">
      <c r="A32" s="50"/>
      <c r="B32" s="50"/>
      <c r="C32" s="67"/>
      <c r="D32" s="79"/>
      <c r="E32" s="89"/>
      <c r="F32" s="89"/>
      <c r="G32" s="89"/>
      <c r="H32" s="89"/>
      <c r="I32" s="89"/>
      <c r="J32" s="89"/>
      <c r="K32" s="89"/>
      <c r="L32" s="89"/>
      <c r="M32" s="89"/>
      <c r="N32" s="89"/>
      <c r="O32" s="89"/>
      <c r="P32" s="89"/>
      <c r="Q32" s="89"/>
      <c r="R32" s="89"/>
      <c r="S32" s="89"/>
      <c r="T32" s="93" t="str">
        <f>'W2'!D31&amp;" (W2,22)"</f>
        <v>    Other economic activities (W2,22)</v>
      </c>
      <c r="U32" s="80"/>
      <c r="V32" s="6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row>
    <row r="33" spans="1:102" ht="9" customHeight="1">
      <c r="A33" s="50"/>
      <c r="B33" s="50"/>
      <c r="C33" s="67"/>
      <c r="D33" s="79"/>
      <c r="E33" s="48"/>
      <c r="F33" s="48"/>
      <c r="G33" s="48"/>
      <c r="H33" s="48"/>
      <c r="I33" s="48"/>
      <c r="J33" s="48"/>
      <c r="K33" s="48"/>
      <c r="L33" s="48"/>
      <c r="M33" s="48"/>
      <c r="N33" s="48"/>
      <c r="O33" s="48"/>
      <c r="P33" s="48"/>
      <c r="Q33" s="48"/>
      <c r="R33" s="48"/>
      <c r="S33" s="48"/>
      <c r="T33" s="48"/>
      <c r="U33" s="80"/>
      <c r="V33" s="6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row>
    <row r="34" spans="1:102" ht="3.75" customHeight="1">
      <c r="A34" s="50"/>
      <c r="B34" s="50"/>
      <c r="C34" s="67"/>
      <c r="D34" s="82"/>
      <c r="E34" s="83"/>
      <c r="F34" s="83"/>
      <c r="G34" s="83"/>
      <c r="H34" s="83"/>
      <c r="I34" s="83"/>
      <c r="J34" s="83"/>
      <c r="K34" s="83"/>
      <c r="L34" s="83"/>
      <c r="M34" s="83"/>
      <c r="N34" s="83"/>
      <c r="O34" s="83"/>
      <c r="P34" s="83"/>
      <c r="Q34" s="83"/>
      <c r="R34" s="83"/>
      <c r="S34" s="83"/>
      <c r="T34" s="83"/>
      <c r="U34" s="84"/>
      <c r="V34" s="68"/>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row>
    <row r="35" spans="1:102" ht="13.5" customHeight="1" thickBot="1">
      <c r="A35" s="50"/>
      <c r="B35" s="50"/>
      <c r="C35" s="69"/>
      <c r="D35" s="73"/>
      <c r="E35" s="70"/>
      <c r="F35" s="70"/>
      <c r="G35" s="70"/>
      <c r="H35" s="70"/>
      <c r="I35" s="70"/>
      <c r="J35" s="70"/>
      <c r="K35" s="70"/>
      <c r="L35" s="70"/>
      <c r="M35" s="70"/>
      <c r="N35" s="70"/>
      <c r="O35" s="70"/>
      <c r="P35" s="70"/>
      <c r="Q35" s="70"/>
      <c r="R35" s="70"/>
      <c r="S35" s="70"/>
      <c r="T35" s="70"/>
      <c r="U35" s="70"/>
      <c r="V35" s="71"/>
      <c r="W35" s="48"/>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row>
    <row r="36" spans="1:123" ht="12.75">
      <c r="A36" s="50"/>
      <c r="B36" s="50"/>
      <c r="C36" s="50"/>
      <c r="D36" s="50"/>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6" customHeight="1">
      <c r="A37" s="50"/>
      <c r="B37" s="50"/>
      <c r="C37" s="50"/>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ht="12.75">
      <c r="A38" s="50"/>
      <c r="B38" s="50"/>
      <c r="C38" s="50"/>
      <c r="D38" s="50"/>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4.5" customHeight="1">
      <c r="A39" s="50"/>
      <c r="B39" s="50"/>
      <c r="C39" s="50"/>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ht="12.75">
      <c r="A40" s="50"/>
      <c r="B40" s="50"/>
      <c r="C40" s="50"/>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5.25" customHeight="1">
      <c r="A41" s="50"/>
      <c r="B41" s="50"/>
      <c r="C41" s="50"/>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ht="12.75">
      <c r="A42" s="50"/>
      <c r="B42" s="50"/>
      <c r="C42" s="50"/>
      <c r="D42" s="50"/>
      <c r="E42" s="48"/>
      <c r="F42" s="48"/>
      <c r="G42" s="48"/>
      <c r="H42" s="48"/>
      <c r="I42" s="48"/>
      <c r="J42" s="48"/>
      <c r="K42" s="48"/>
      <c r="L42" s="48"/>
      <c r="M42" s="48"/>
      <c r="N42" s="48"/>
      <c r="O42" s="48"/>
      <c r="P42" s="48"/>
      <c r="Q42" s="48"/>
      <c r="R42" s="50"/>
      <c r="S42" s="50"/>
      <c r="T42" s="50"/>
      <c r="U42" s="50"/>
      <c r="V42" s="50"/>
      <c r="W42" s="48"/>
      <c r="X42" s="48"/>
      <c r="Y42" s="48"/>
      <c r="Z42" s="48"/>
      <c r="AA42" s="48"/>
      <c r="AB42" s="48"/>
      <c r="AC42" s="48"/>
      <c r="AD42" s="48"/>
      <c r="AE42" s="48"/>
      <c r="AF42" s="48"/>
      <c r="AG42" s="48"/>
      <c r="AH42" s="48"/>
      <c r="AI42" s="48"/>
      <c r="AJ42" s="48"/>
      <c r="AK42" s="48"/>
      <c r="AL42" s="48"/>
      <c r="AM42" s="48"/>
      <c r="AN42" s="48"/>
      <c r="AO42" s="48"/>
      <c r="AP42" s="48"/>
      <c r="AQ42" s="48"/>
      <c r="AR42" s="48"/>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ht="12.75">
      <c r="A43" s="50"/>
      <c r="B43" s="50"/>
      <c r="C43" s="50"/>
      <c r="D43" s="50"/>
      <c r="E43" s="48"/>
      <c r="F43" s="48"/>
      <c r="G43" s="48"/>
      <c r="H43" s="48"/>
      <c r="I43" s="48"/>
      <c r="J43" s="48"/>
      <c r="K43" s="48"/>
      <c r="L43" s="48"/>
      <c r="M43" s="48"/>
      <c r="N43" s="48"/>
      <c r="O43" s="48"/>
      <c r="P43" s="48"/>
      <c r="Q43" s="48"/>
      <c r="R43" s="50"/>
      <c r="S43" s="50"/>
      <c r="T43" s="50"/>
      <c r="U43" s="50"/>
      <c r="V43" s="50"/>
      <c r="W43" s="48"/>
      <c r="X43" s="48"/>
      <c r="Y43" s="48"/>
      <c r="Z43" s="48"/>
      <c r="AA43" s="48"/>
      <c r="AB43" s="48"/>
      <c r="AC43" s="48"/>
      <c r="AD43" s="48"/>
      <c r="AE43" s="48"/>
      <c r="AF43" s="48"/>
      <c r="AG43" s="48"/>
      <c r="AH43" s="48"/>
      <c r="AI43" s="48"/>
      <c r="AJ43" s="48"/>
      <c r="AK43" s="48"/>
      <c r="AL43" s="48"/>
      <c r="AM43" s="48"/>
      <c r="AN43" s="48"/>
      <c r="AO43" s="48"/>
      <c r="AP43" s="48"/>
      <c r="AQ43" s="48"/>
      <c r="AR43" s="48"/>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ht="12.75">
      <c r="A44" s="50"/>
      <c r="B44" s="50"/>
      <c r="C44" s="50"/>
      <c r="D44" s="50"/>
      <c r="E44" s="48"/>
      <c r="F44" s="48"/>
      <c r="G44" s="48"/>
      <c r="H44" s="48"/>
      <c r="I44" s="48"/>
      <c r="J44" s="48"/>
      <c r="K44" s="48"/>
      <c r="L44" s="48"/>
      <c r="M44" s="48"/>
      <c r="N44" s="48"/>
      <c r="O44" s="48"/>
      <c r="P44" s="48"/>
      <c r="Q44" s="48"/>
      <c r="R44" s="50"/>
      <c r="S44" s="50"/>
      <c r="T44" s="50"/>
      <c r="U44" s="50"/>
      <c r="V44" s="50"/>
      <c r="W44" s="48"/>
      <c r="X44" s="48"/>
      <c r="Y44" s="48"/>
      <c r="Z44" s="48"/>
      <c r="AA44" s="48"/>
      <c r="AB44" s="48"/>
      <c r="AC44" s="48"/>
      <c r="AD44" s="48"/>
      <c r="AE44" s="48"/>
      <c r="AF44" s="48"/>
      <c r="AG44" s="48"/>
      <c r="AH44" s="48"/>
      <c r="AI44" s="48"/>
      <c r="AJ44" s="48"/>
      <c r="AK44" s="48"/>
      <c r="AL44" s="48"/>
      <c r="AM44" s="48"/>
      <c r="AN44" s="48"/>
      <c r="AO44" s="48"/>
      <c r="AP44" s="48"/>
      <c r="AQ44" s="48"/>
      <c r="AR44" s="48"/>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ht="12.75">
      <c r="A45" s="50"/>
      <c r="B45" s="50"/>
      <c r="C45" s="50"/>
      <c r="D45" s="50"/>
      <c r="E45" s="50"/>
      <c r="F45" s="50"/>
      <c r="G45" s="50"/>
      <c r="H45" s="50"/>
      <c r="I45" s="50"/>
      <c r="J45" s="50"/>
      <c r="K45" s="50"/>
      <c r="L45" s="50"/>
      <c r="M45" s="50"/>
      <c r="N45" s="50"/>
      <c r="O45" s="50"/>
      <c r="P45" s="50"/>
      <c r="Q45" s="50"/>
      <c r="R45" s="50"/>
      <c r="S45" s="50"/>
      <c r="T45" s="50"/>
      <c r="U45" s="50"/>
      <c r="V45" s="50"/>
      <c r="W45" s="48"/>
      <c r="X45" s="48"/>
      <c r="Y45" s="48"/>
      <c r="Z45" s="48"/>
      <c r="AA45" s="48"/>
      <c r="AB45" s="48"/>
      <c r="AC45" s="48"/>
      <c r="AD45" s="48"/>
      <c r="AE45" s="48"/>
      <c r="AF45" s="48"/>
      <c r="AG45" s="48"/>
      <c r="AH45" s="48"/>
      <c r="AI45" s="48"/>
      <c r="AJ45" s="48"/>
      <c r="AK45" s="48"/>
      <c r="AL45" s="48"/>
      <c r="AM45" s="48"/>
      <c r="AN45" s="48"/>
      <c r="AO45" s="48"/>
      <c r="AP45" s="48"/>
      <c r="AQ45" s="48"/>
      <c r="AR45" s="48"/>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ht="12.75">
      <c r="A46" s="50"/>
      <c r="B46" s="50"/>
      <c r="C46" s="50"/>
      <c r="D46" s="50"/>
      <c r="E46" s="50"/>
      <c r="F46" s="50"/>
      <c r="G46" s="50"/>
      <c r="H46" s="50"/>
      <c r="I46" s="50"/>
      <c r="J46" s="50"/>
      <c r="K46" s="50"/>
      <c r="L46" s="50"/>
      <c r="M46" s="50"/>
      <c r="N46" s="50"/>
      <c r="O46" s="50"/>
      <c r="P46" s="50"/>
      <c r="Q46" s="50"/>
      <c r="R46" s="50"/>
      <c r="S46" s="50"/>
      <c r="T46" s="50"/>
      <c r="U46" s="50"/>
      <c r="V46" s="50"/>
      <c r="W46" s="48"/>
      <c r="X46" s="48"/>
      <c r="Y46" s="48"/>
      <c r="Z46" s="48"/>
      <c r="AA46" s="48"/>
      <c r="AB46" s="48"/>
      <c r="AC46" s="48"/>
      <c r="AD46" s="48"/>
      <c r="AE46" s="48"/>
      <c r="AF46" s="48"/>
      <c r="AG46" s="48"/>
      <c r="AH46" s="48"/>
      <c r="AI46" s="48"/>
      <c r="AJ46" s="48"/>
      <c r="AK46" s="48"/>
      <c r="AL46" s="48"/>
      <c r="AM46" s="48"/>
      <c r="AN46" s="48"/>
      <c r="AO46" s="48"/>
      <c r="AP46" s="48"/>
      <c r="AQ46" s="48"/>
      <c r="AR46" s="48"/>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ht="12.75">
      <c r="A47" s="50"/>
      <c r="B47" s="50"/>
      <c r="C47" s="50"/>
      <c r="D47" s="50"/>
      <c r="E47" s="50"/>
      <c r="F47" s="50"/>
      <c r="G47" s="50"/>
      <c r="H47" s="50"/>
      <c r="I47" s="50"/>
      <c r="J47" s="50"/>
      <c r="K47" s="50"/>
      <c r="L47" s="50"/>
      <c r="M47" s="50"/>
      <c r="N47" s="50"/>
      <c r="O47" s="50"/>
      <c r="P47" s="50"/>
      <c r="Q47" s="50"/>
      <c r="R47" s="50"/>
      <c r="S47" s="50"/>
      <c r="T47" s="50"/>
      <c r="U47" s="50"/>
      <c r="V47" s="50"/>
      <c r="W47" s="48"/>
      <c r="X47" s="48"/>
      <c r="Y47" s="48"/>
      <c r="Z47" s="48"/>
      <c r="AA47" s="48"/>
      <c r="AB47" s="48"/>
      <c r="AC47" s="48"/>
      <c r="AD47" s="48"/>
      <c r="AE47" s="48"/>
      <c r="AF47" s="48"/>
      <c r="AG47" s="48"/>
      <c r="AH47" s="48"/>
      <c r="AI47" s="48"/>
      <c r="AJ47" s="48"/>
      <c r="AK47" s="48"/>
      <c r="AL47" s="48"/>
      <c r="AM47" s="48"/>
      <c r="AN47" s="48"/>
      <c r="AO47" s="48"/>
      <c r="AP47" s="48"/>
      <c r="AQ47" s="48"/>
      <c r="AR47" s="48"/>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ht="12.75">
      <c r="A48" s="50"/>
      <c r="B48" s="50"/>
      <c r="C48" s="50"/>
      <c r="D48" s="50"/>
      <c r="E48" s="50"/>
      <c r="F48" s="50"/>
      <c r="G48" s="50"/>
      <c r="H48" s="50"/>
      <c r="I48" s="50"/>
      <c r="J48" s="50"/>
      <c r="K48" s="50"/>
      <c r="L48" s="50"/>
      <c r="M48" s="50"/>
      <c r="N48" s="50"/>
      <c r="O48" s="50"/>
      <c r="P48" s="50"/>
      <c r="Q48" s="50"/>
      <c r="R48" s="50"/>
      <c r="S48" s="50"/>
      <c r="T48" s="50"/>
      <c r="U48" s="50"/>
      <c r="V48" s="50"/>
      <c r="W48" s="48"/>
      <c r="X48" s="48"/>
      <c r="Y48" s="48"/>
      <c r="Z48" s="48"/>
      <c r="AA48" s="48"/>
      <c r="AB48" s="48"/>
      <c r="AC48" s="48"/>
      <c r="AD48" s="48"/>
      <c r="AE48" s="48"/>
      <c r="AF48" s="48"/>
      <c r="AG48" s="48"/>
      <c r="AH48" s="48"/>
      <c r="AI48" s="48"/>
      <c r="AJ48" s="48"/>
      <c r="AK48" s="48"/>
      <c r="AL48" s="48"/>
      <c r="AM48" s="48"/>
      <c r="AN48" s="48"/>
      <c r="AO48" s="48"/>
      <c r="AP48" s="48"/>
      <c r="AQ48" s="48"/>
      <c r="AR48" s="48"/>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1:123" ht="12.75">
      <c r="A49" s="50"/>
      <c r="B49" s="50"/>
      <c r="C49" s="50"/>
      <c r="D49" s="50"/>
      <c r="E49" s="50"/>
      <c r="F49" s="50"/>
      <c r="G49" s="50"/>
      <c r="H49" s="50"/>
      <c r="I49" s="50"/>
      <c r="J49" s="50"/>
      <c r="K49" s="50"/>
      <c r="L49" s="50"/>
      <c r="M49" s="50"/>
      <c r="N49" s="50"/>
      <c r="O49" s="50"/>
      <c r="P49" s="50"/>
      <c r="Q49" s="50"/>
      <c r="R49" s="50"/>
      <c r="S49" s="50"/>
      <c r="T49" s="50"/>
      <c r="U49" s="50"/>
      <c r="V49" s="50"/>
      <c r="W49" s="48"/>
      <c r="X49" s="48"/>
      <c r="Y49" s="48"/>
      <c r="Z49" s="48"/>
      <c r="AA49" s="48"/>
      <c r="AB49" s="48"/>
      <c r="AC49" s="48"/>
      <c r="AD49" s="48"/>
      <c r="AE49" s="48"/>
      <c r="AF49" s="48"/>
      <c r="AG49" s="48"/>
      <c r="AH49" s="48"/>
      <c r="AI49" s="48"/>
      <c r="AJ49" s="48"/>
      <c r="AK49" s="48"/>
      <c r="AL49" s="48"/>
      <c r="AM49" s="48"/>
      <c r="AN49" s="48"/>
      <c r="AO49" s="48"/>
      <c r="AP49" s="48"/>
      <c r="AQ49" s="48"/>
      <c r="AR49" s="48"/>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1:123" ht="12.75">
      <c r="A50" s="50"/>
      <c r="B50" s="50"/>
      <c r="C50" s="50"/>
      <c r="D50" s="50"/>
      <c r="E50" s="50"/>
      <c r="F50" s="50"/>
      <c r="G50" s="50"/>
      <c r="H50" s="50"/>
      <c r="I50" s="50"/>
      <c r="J50" s="50"/>
      <c r="K50" s="50"/>
      <c r="L50" s="50"/>
      <c r="M50" s="50"/>
      <c r="N50" s="50"/>
      <c r="O50" s="50"/>
      <c r="P50" s="50"/>
      <c r="Q50" s="50"/>
      <c r="R50" s="50"/>
      <c r="S50" s="50"/>
      <c r="T50" s="50"/>
      <c r="U50" s="50"/>
      <c r="V50" s="50"/>
      <c r="W50" s="50"/>
      <c r="X50" s="48"/>
      <c r="Y50" s="48"/>
      <c r="Z50" s="48"/>
      <c r="AA50" s="48"/>
      <c r="AB50" s="48"/>
      <c r="AC50" s="48"/>
      <c r="AD50" s="48"/>
      <c r="AE50" s="48"/>
      <c r="AF50" s="48"/>
      <c r="AG50" s="48"/>
      <c r="AH50" s="48"/>
      <c r="AI50" s="48"/>
      <c r="AJ50" s="48"/>
      <c r="AK50" s="48"/>
      <c r="AL50" s="48"/>
      <c r="AM50" s="48"/>
      <c r="AN50" s="48"/>
      <c r="AO50" s="48"/>
      <c r="AP50" s="48"/>
      <c r="AQ50" s="48"/>
      <c r="AR50" s="48"/>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1:123"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1:123"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1:123"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1:123"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1:123"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1:123"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1:123"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1:123"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1:123"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1:123"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1:123"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1:123"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1:123"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1:123"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1:123"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1:123"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1:123"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123"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1:44" ht="12.75">
      <c r="A69" s="50"/>
      <c r="B69" s="50"/>
      <c r="C69" s="50"/>
      <c r="D69" s="50"/>
      <c r="E69" s="50"/>
      <c r="F69" s="50"/>
      <c r="G69" s="50"/>
      <c r="H69" s="50"/>
      <c r="I69" s="50"/>
      <c r="J69" s="50"/>
      <c r="K69" s="50"/>
      <c r="L69" s="50"/>
      <c r="M69" s="50"/>
      <c r="N69" s="50"/>
      <c r="O69" s="50"/>
      <c r="P69" s="50"/>
      <c r="Q69" s="50"/>
      <c r="R69" s="50"/>
      <c r="S69" s="50"/>
      <c r="T69" s="50"/>
      <c r="U69" s="50"/>
      <c r="V69" s="50"/>
      <c r="X69" s="50"/>
      <c r="Y69" s="50"/>
      <c r="Z69" s="50"/>
      <c r="AA69" s="50"/>
      <c r="AB69" s="50"/>
      <c r="AC69" s="50"/>
      <c r="AD69" s="50"/>
      <c r="AE69" s="50"/>
      <c r="AF69" s="50"/>
      <c r="AG69" s="50"/>
      <c r="AH69" s="50"/>
      <c r="AI69" s="50"/>
      <c r="AJ69" s="50"/>
      <c r="AK69" s="50"/>
      <c r="AL69" s="50"/>
      <c r="AM69" s="50"/>
      <c r="AN69" s="50"/>
      <c r="AO69" s="50"/>
      <c r="AP69" s="50"/>
      <c r="AQ69" s="50"/>
      <c r="AR69" s="50"/>
    </row>
  </sheetData>
  <sheetProtection sheet="1"/>
  <mergeCells count="16">
    <mergeCell ref="I24:J24"/>
    <mergeCell ref="E18:J18"/>
    <mergeCell ref="E22:J22"/>
    <mergeCell ref="J14:L14"/>
    <mergeCell ref="J16:L16"/>
    <mergeCell ref="P13:P14"/>
    <mergeCell ref="O29:O30"/>
    <mergeCell ref="Q26:R26"/>
    <mergeCell ref="N25:N26"/>
    <mergeCell ref="P25:P26"/>
    <mergeCell ref="Q13:R14"/>
    <mergeCell ref="E2:V2"/>
    <mergeCell ref="E4:V4"/>
    <mergeCell ref="G13:H13"/>
    <mergeCell ref="I26:J26"/>
    <mergeCell ref="I28:J28"/>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sheetPr codeName="Sheet5"/>
  <dimension ref="A1:CU211"/>
  <sheetViews>
    <sheetView showGridLines="0" tabSelected="1" view="pageBreakPreview" zoomScale="83" zoomScaleNormal="85" zoomScaleSheetLayoutView="83" zoomScalePageLayoutView="0" workbookViewId="0" topLeftCell="C1">
      <selection activeCell="V8" sqref="V8"/>
    </sheetView>
  </sheetViews>
  <sheetFormatPr defaultColWidth="9.33203125" defaultRowHeight="12.75"/>
  <cols>
    <col min="1" max="1" width="6" style="198" hidden="1" customWidth="1"/>
    <col min="2" max="2" width="9" style="199" hidden="1" customWidth="1"/>
    <col min="3" max="3" width="10.33203125" style="211" customWidth="1"/>
    <col min="4" max="4" width="37" style="236" customWidth="1"/>
    <col min="5" max="5" width="10.16015625" style="299" customWidth="1"/>
    <col min="6" max="6" width="10.5" style="211" customWidth="1"/>
    <col min="7" max="7" width="1.83203125" style="239" customWidth="1"/>
    <col min="8" max="8" width="7" style="240" hidden="1" customWidth="1"/>
    <col min="9" max="9" width="1.83203125" style="241" hidden="1" customWidth="1"/>
    <col min="10" max="10" width="7" style="240" hidden="1" customWidth="1"/>
    <col min="11" max="11" width="1.83203125" style="241" hidden="1" customWidth="1"/>
    <col min="12" max="12" width="7" style="240" hidden="1" customWidth="1"/>
    <col min="13" max="13" width="1.83203125" style="241" hidden="1" customWidth="1"/>
    <col min="14" max="14" width="7" style="240" hidden="1" customWidth="1"/>
    <col min="15" max="15" width="1.83203125" style="241" hidden="1" customWidth="1"/>
    <col min="16" max="16" width="7" style="240" hidden="1" customWidth="1"/>
    <col min="17" max="17" width="1.83203125" style="239" hidden="1" customWidth="1"/>
    <col min="18" max="18" width="7" style="240" hidden="1" customWidth="1"/>
    <col min="19" max="19" width="1.83203125" style="239" hidden="1" customWidth="1"/>
    <col min="20" max="20" width="7" style="240" hidden="1" customWidth="1"/>
    <col min="21" max="21" width="1.83203125" style="239" hidden="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41"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39" customWidth="1"/>
    <col min="36" max="36" width="7" style="239" customWidth="1"/>
    <col min="37" max="37" width="1.83203125" style="239" customWidth="1"/>
    <col min="38" max="38" width="7" style="239" customWidth="1"/>
    <col min="39" max="39" width="1.83203125" style="239" customWidth="1"/>
    <col min="40" max="40" width="7" style="240" customWidth="1"/>
    <col min="41" max="41" width="1.83203125" style="211" customWidth="1"/>
    <col min="42" max="42" width="7" style="211" customWidth="1"/>
    <col min="43" max="43" width="1.83203125" style="211" customWidth="1"/>
    <col min="44" max="44" width="7" style="211" customWidth="1"/>
    <col min="45" max="45" width="1.83203125" style="211" customWidth="1"/>
    <col min="46" max="46" width="7.33203125" style="211" customWidth="1"/>
    <col min="47" max="47" width="6.5" style="209" customWidth="1"/>
    <col min="48" max="48" width="6.83203125" style="209" customWidth="1"/>
    <col min="49" max="49" width="34.66015625" style="209" customWidth="1"/>
    <col min="50" max="50" width="9.33203125" style="209" customWidth="1"/>
    <col min="51" max="51" width="11.33203125" style="209" customWidth="1"/>
    <col min="52" max="52" width="1.83203125" style="209" customWidth="1"/>
    <col min="53" max="53" width="9.5" style="209" bestFit="1" customWidth="1"/>
    <col min="54" max="54" width="1.83203125" style="209" customWidth="1"/>
    <col min="55" max="55" width="9.5" style="209" bestFit="1" customWidth="1"/>
    <col min="56" max="56" width="1.83203125" style="209" customWidth="1"/>
    <col min="57" max="57" width="9.5" style="209" bestFit="1" customWidth="1"/>
    <col min="58" max="58" width="1.83203125" style="209" customWidth="1"/>
    <col min="59" max="59" width="9.5" style="209" bestFit="1" customWidth="1"/>
    <col min="60" max="60" width="1.83203125" style="209" customWidth="1"/>
    <col min="61" max="61" width="10.66015625" style="209" bestFit="1" customWidth="1"/>
    <col min="62" max="62" width="1.83203125" style="209" customWidth="1"/>
    <col min="63" max="63" width="10.66015625" style="209" bestFit="1" customWidth="1"/>
    <col min="64" max="64" width="1.83203125" style="209" customWidth="1"/>
    <col min="65" max="65" width="10.66015625" style="209" bestFit="1" customWidth="1"/>
    <col min="66" max="66" width="1.83203125" style="209" customWidth="1"/>
    <col min="67" max="67" width="10.66015625" style="209" bestFit="1" customWidth="1"/>
    <col min="68" max="68" width="1.83203125" style="209" customWidth="1"/>
    <col min="69" max="69" width="10.66015625" style="209" bestFit="1" customWidth="1"/>
    <col min="70" max="70" width="1.83203125" style="209" customWidth="1"/>
    <col min="71" max="71" width="10.66015625" style="209" bestFit="1" customWidth="1"/>
    <col min="72" max="72" width="1.83203125" style="209" customWidth="1"/>
    <col min="73" max="73" width="10.66015625" style="209" bestFit="1" customWidth="1"/>
    <col min="74" max="74" width="1.83203125" style="209" customWidth="1"/>
    <col min="75" max="75" width="10.66015625" style="209" bestFit="1" customWidth="1"/>
    <col min="76" max="76" width="1.83203125" style="209" customWidth="1"/>
    <col min="77" max="77" width="10.66015625" style="209" bestFit="1" customWidth="1"/>
    <col min="78" max="78" width="1.83203125" style="209" customWidth="1"/>
    <col min="79" max="79" width="10.66015625" style="209" bestFit="1" customWidth="1"/>
    <col min="80" max="80" width="1.83203125" style="209" customWidth="1"/>
    <col min="81" max="81" width="10.66015625" style="209" bestFit="1" customWidth="1"/>
    <col min="82" max="82" width="1.83203125" style="209" customWidth="1"/>
    <col min="83" max="83" width="10.66015625" style="209" bestFit="1" customWidth="1"/>
    <col min="84" max="84" width="1.83203125" style="209" customWidth="1"/>
    <col min="85" max="85" width="10.66015625" style="209" bestFit="1" customWidth="1"/>
    <col min="86" max="86" width="1.83203125" style="209" customWidth="1"/>
    <col min="87" max="87" width="10.66015625" style="209" bestFit="1" customWidth="1"/>
    <col min="88" max="88" width="1.83203125" style="209" customWidth="1"/>
    <col min="89" max="89" width="10.66015625" style="209" bestFit="1" customWidth="1"/>
    <col min="90" max="90" width="3.5" style="211" customWidth="1"/>
    <col min="91" max="91" width="9.66015625" style="209" bestFit="1" customWidth="1"/>
    <col min="92" max="92" width="21.66015625" style="209" customWidth="1"/>
    <col min="93" max="93" width="17.33203125" style="209" bestFit="1" customWidth="1"/>
    <col min="94" max="94" width="16.33203125" style="209" bestFit="1" customWidth="1"/>
    <col min="95" max="95" width="15.83203125" style="209" bestFit="1" customWidth="1"/>
    <col min="96" max="96" width="16.33203125" style="209" bestFit="1" customWidth="1"/>
    <col min="97" max="16384" width="9.33203125" style="211" customWidth="1"/>
  </cols>
  <sheetData>
    <row r="1" spans="2:48" ht="15.75" customHeight="1">
      <c r="B1" s="199">
        <v>0</v>
      </c>
      <c r="C1" s="200" t="s">
        <v>367</v>
      </c>
      <c r="D1" s="201"/>
      <c r="E1" s="202"/>
      <c r="F1" s="203"/>
      <c r="G1" s="204"/>
      <c r="H1" s="205"/>
      <c r="I1" s="206"/>
      <c r="J1" s="205"/>
      <c r="K1" s="206"/>
      <c r="L1" s="205"/>
      <c r="M1" s="206"/>
      <c r="N1" s="205"/>
      <c r="O1" s="206"/>
      <c r="P1" s="205"/>
      <c r="Q1" s="204"/>
      <c r="R1" s="205"/>
      <c r="S1" s="204"/>
      <c r="T1" s="205"/>
      <c r="U1" s="204"/>
      <c r="V1" s="205"/>
      <c r="W1" s="204"/>
      <c r="X1" s="205"/>
      <c r="Y1" s="204"/>
      <c r="Z1" s="205"/>
      <c r="AA1" s="204"/>
      <c r="AB1" s="205"/>
      <c r="AC1" s="206"/>
      <c r="AD1" s="205"/>
      <c r="AE1" s="204"/>
      <c r="AF1" s="205"/>
      <c r="AG1" s="204"/>
      <c r="AH1" s="205"/>
      <c r="AI1" s="204"/>
      <c r="AJ1" s="204"/>
      <c r="AK1" s="204"/>
      <c r="AL1" s="204"/>
      <c r="AM1" s="204"/>
      <c r="AN1" s="205"/>
      <c r="AO1" s="207"/>
      <c r="AP1" s="208"/>
      <c r="AQ1" s="208"/>
      <c r="AR1" s="208"/>
      <c r="AS1" s="208"/>
      <c r="AT1" s="208"/>
      <c r="AV1" s="210" t="s">
        <v>98</v>
      </c>
    </row>
    <row r="2" spans="3:46" ht="6.75" customHeight="1">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20"/>
      <c r="AQ2" s="220"/>
      <c r="AR2" s="220"/>
      <c r="AS2" s="220"/>
      <c r="AT2" s="220"/>
    </row>
    <row r="3" spans="3:48" ht="16.5" customHeight="1">
      <c r="C3" s="221" t="s">
        <v>370</v>
      </c>
      <c r="D3" s="637"/>
      <c r="E3" s="355"/>
      <c r="F3" s="356"/>
      <c r="G3" s="352"/>
      <c r="H3" s="351"/>
      <c r="I3" s="357"/>
      <c r="J3" s="351"/>
      <c r="K3" s="357"/>
      <c r="L3" s="351"/>
      <c r="M3" s="357"/>
      <c r="N3" s="351"/>
      <c r="O3" s="357"/>
      <c r="P3" s="351"/>
      <c r="Q3" s="352"/>
      <c r="R3" s="351"/>
      <c r="S3" s="352"/>
      <c r="T3" s="225"/>
      <c r="U3" s="226"/>
      <c r="V3" s="225"/>
      <c r="W3" s="226"/>
      <c r="X3" s="225"/>
      <c r="Y3" s="221" t="s">
        <v>362</v>
      </c>
      <c r="Z3" s="223"/>
      <c r="AA3" s="222"/>
      <c r="AB3" s="223"/>
      <c r="AC3" s="224"/>
      <c r="AD3" s="351"/>
      <c r="AE3" s="352"/>
      <c r="AF3" s="351"/>
      <c r="AG3" s="352"/>
      <c r="AH3" s="351"/>
      <c r="AI3" s="352"/>
      <c r="AJ3" s="352"/>
      <c r="AK3" s="352"/>
      <c r="AL3" s="352"/>
      <c r="AM3" s="352"/>
      <c r="AN3" s="351"/>
      <c r="AO3" s="353"/>
      <c r="AP3" s="354"/>
      <c r="AQ3" s="354"/>
      <c r="AR3" s="354"/>
      <c r="AS3" s="354"/>
      <c r="AT3" s="354"/>
      <c r="AV3" s="228" t="s">
        <v>62</v>
      </c>
    </row>
    <row r="4" spans="3:48" ht="2.25" customHeight="1">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V4" s="229"/>
    </row>
    <row r="5" spans="1:96" s="235" customFormat="1" ht="17.25" customHeight="1">
      <c r="A5" s="230"/>
      <c r="B5" s="199">
        <v>1</v>
      </c>
      <c r="C5" s="753" t="s">
        <v>542</v>
      </c>
      <c r="D5" s="753"/>
      <c r="E5" s="754"/>
      <c r="F5" s="754"/>
      <c r="G5" s="754"/>
      <c r="H5" s="755"/>
      <c r="I5" s="755"/>
      <c r="J5" s="755"/>
      <c r="K5" s="755"/>
      <c r="L5" s="755"/>
      <c r="M5" s="755"/>
      <c r="N5" s="755"/>
      <c r="O5" s="755"/>
      <c r="P5" s="755"/>
      <c r="Q5" s="754"/>
      <c r="R5" s="755"/>
      <c r="S5" s="754"/>
      <c r="T5" s="755"/>
      <c r="U5" s="754"/>
      <c r="V5" s="755"/>
      <c r="W5" s="754"/>
      <c r="X5" s="755"/>
      <c r="Y5" s="754"/>
      <c r="Z5" s="755"/>
      <c r="AA5" s="754"/>
      <c r="AB5" s="755"/>
      <c r="AC5" s="755"/>
      <c r="AD5" s="755"/>
      <c r="AE5" s="754"/>
      <c r="AF5" s="755"/>
      <c r="AG5" s="754"/>
      <c r="AH5" s="755"/>
      <c r="AI5" s="754"/>
      <c r="AJ5" s="754"/>
      <c r="AK5" s="754"/>
      <c r="AL5" s="754"/>
      <c r="AM5" s="754"/>
      <c r="AN5" s="755"/>
      <c r="AO5" s="231"/>
      <c r="AP5" s="232"/>
      <c r="AQ5" s="232"/>
      <c r="AR5" s="232"/>
      <c r="AS5" s="232"/>
      <c r="AT5" s="232"/>
      <c r="AU5" s="233"/>
      <c r="AV5" s="234" t="s">
        <v>63</v>
      </c>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M5" s="752" t="s">
        <v>607</v>
      </c>
      <c r="CN5" s="752"/>
      <c r="CO5" s="752"/>
      <c r="CP5" s="752"/>
      <c r="CQ5" s="752"/>
      <c r="CR5" s="752"/>
    </row>
    <row r="6" spans="5:96" ht="15.75" customHeight="1">
      <c r="E6" s="237"/>
      <c r="F6" s="238"/>
      <c r="T6" s="242"/>
      <c r="V6" s="747" t="s">
        <v>152</v>
      </c>
      <c r="W6" s="748"/>
      <c r="X6" s="748"/>
      <c r="Y6" s="748"/>
      <c r="Z6" s="748"/>
      <c r="AA6" s="748"/>
      <c r="AB6" s="748"/>
      <c r="AC6" s="748"/>
      <c r="AD6" s="748"/>
      <c r="AE6" s="243"/>
      <c r="AF6" s="244"/>
      <c r="AG6" s="244"/>
      <c r="AH6" s="244"/>
      <c r="AI6" s="244"/>
      <c r="AJ6" s="244"/>
      <c r="AK6" s="244"/>
      <c r="AL6" s="244"/>
      <c r="AM6" s="244"/>
      <c r="AN6" s="244"/>
      <c r="AO6" s="244"/>
      <c r="AP6" s="244"/>
      <c r="AQ6" s="244"/>
      <c r="AR6" s="244"/>
      <c r="AS6" s="245" t="s">
        <v>617</v>
      </c>
      <c r="AT6" s="246"/>
      <c r="AV6" s="247" t="s">
        <v>89</v>
      </c>
      <c r="CM6" s="248" t="s">
        <v>393</v>
      </c>
      <c r="CN6" s="248" t="s">
        <v>394</v>
      </c>
      <c r="CO6" s="249" t="s">
        <v>395</v>
      </c>
      <c r="CP6" s="249" t="s">
        <v>609</v>
      </c>
      <c r="CQ6" s="249" t="s">
        <v>396</v>
      </c>
      <c r="CR6" s="249" t="s">
        <v>397</v>
      </c>
    </row>
    <row r="7" spans="1:96" s="255" customFormat="1" ht="42.75" customHeight="1">
      <c r="A7" s="250"/>
      <c r="B7" s="251">
        <v>2</v>
      </c>
      <c r="C7" s="252" t="s">
        <v>359</v>
      </c>
      <c r="D7" s="252" t="s">
        <v>361</v>
      </c>
      <c r="E7" s="253" t="s">
        <v>364</v>
      </c>
      <c r="F7" s="252" t="s">
        <v>388</v>
      </c>
      <c r="G7" s="254"/>
      <c r="H7" s="253">
        <v>1990</v>
      </c>
      <c r="I7" s="254"/>
      <c r="J7" s="253">
        <v>1995</v>
      </c>
      <c r="K7" s="254"/>
      <c r="L7" s="253">
        <v>1996</v>
      </c>
      <c r="M7" s="254"/>
      <c r="N7" s="253">
        <v>1997</v>
      </c>
      <c r="O7" s="254"/>
      <c r="P7" s="253">
        <v>1998</v>
      </c>
      <c r="Q7" s="254"/>
      <c r="R7" s="253">
        <v>1999</v>
      </c>
      <c r="S7" s="254"/>
      <c r="T7" s="253">
        <v>2000</v>
      </c>
      <c r="U7" s="254"/>
      <c r="V7" s="253">
        <v>2001</v>
      </c>
      <c r="W7" s="254"/>
      <c r="X7" s="253">
        <v>2002</v>
      </c>
      <c r="Y7" s="254"/>
      <c r="Z7" s="253">
        <v>2003</v>
      </c>
      <c r="AA7" s="254"/>
      <c r="AB7" s="253">
        <v>2004</v>
      </c>
      <c r="AC7" s="254"/>
      <c r="AD7" s="253">
        <v>2005</v>
      </c>
      <c r="AE7" s="254"/>
      <c r="AF7" s="253">
        <v>2006</v>
      </c>
      <c r="AG7" s="254"/>
      <c r="AH7" s="253">
        <v>2007</v>
      </c>
      <c r="AI7" s="254"/>
      <c r="AJ7" s="253">
        <v>2008</v>
      </c>
      <c r="AK7" s="254"/>
      <c r="AL7" s="253">
        <v>2009</v>
      </c>
      <c r="AM7" s="254"/>
      <c r="AN7" s="253">
        <v>2010</v>
      </c>
      <c r="AO7" s="254"/>
      <c r="AP7" s="253">
        <v>2011</v>
      </c>
      <c r="AQ7" s="253"/>
      <c r="AR7" s="253">
        <v>2012</v>
      </c>
      <c r="AS7" s="254"/>
      <c r="AU7" s="250"/>
      <c r="AV7" s="252" t="s">
        <v>359</v>
      </c>
      <c r="AW7" s="252" t="s">
        <v>361</v>
      </c>
      <c r="AX7" s="252" t="s">
        <v>364</v>
      </c>
      <c r="AY7" s="252" t="s">
        <v>388</v>
      </c>
      <c r="AZ7" s="254"/>
      <c r="BA7" s="253">
        <v>1990</v>
      </c>
      <c r="BB7" s="254"/>
      <c r="BC7" s="253">
        <v>1995</v>
      </c>
      <c r="BD7" s="254"/>
      <c r="BE7" s="253">
        <v>1996</v>
      </c>
      <c r="BF7" s="254"/>
      <c r="BG7" s="253">
        <v>1997</v>
      </c>
      <c r="BH7" s="254"/>
      <c r="BI7" s="253">
        <v>1998</v>
      </c>
      <c r="BJ7" s="254"/>
      <c r="BK7" s="253">
        <v>1999</v>
      </c>
      <c r="BL7" s="254"/>
      <c r="BM7" s="253">
        <v>2000</v>
      </c>
      <c r="BN7" s="254"/>
      <c r="BO7" s="253">
        <v>2001</v>
      </c>
      <c r="BP7" s="254"/>
      <c r="BQ7" s="253">
        <v>2002</v>
      </c>
      <c r="BR7" s="254"/>
      <c r="BS7" s="253">
        <v>2003</v>
      </c>
      <c r="BT7" s="254"/>
      <c r="BU7" s="253">
        <v>2004</v>
      </c>
      <c r="BV7" s="254"/>
      <c r="BW7" s="253">
        <v>2005</v>
      </c>
      <c r="BX7" s="254"/>
      <c r="BY7" s="253">
        <v>2006</v>
      </c>
      <c r="BZ7" s="254"/>
      <c r="CA7" s="253">
        <v>2007</v>
      </c>
      <c r="CB7" s="254"/>
      <c r="CC7" s="253">
        <v>2008</v>
      </c>
      <c r="CD7" s="254"/>
      <c r="CE7" s="253">
        <v>2009</v>
      </c>
      <c r="CF7" s="254"/>
      <c r="CG7" s="253">
        <v>2010</v>
      </c>
      <c r="CH7" s="254"/>
      <c r="CI7" s="253">
        <v>2011</v>
      </c>
      <c r="CJ7" s="254"/>
      <c r="CK7" s="253">
        <v>2012</v>
      </c>
      <c r="CM7" s="256">
        <v>4</v>
      </c>
      <c r="CN7" s="257" t="s">
        <v>398</v>
      </c>
      <c r="CO7" s="256">
        <v>213300</v>
      </c>
      <c r="CP7" s="256">
        <v>47150</v>
      </c>
      <c r="CQ7" s="256">
        <v>10000</v>
      </c>
      <c r="CR7" s="256">
        <v>65330</v>
      </c>
    </row>
    <row r="8" spans="1:96" s="263" customFormat="1" ht="20.25" customHeight="1">
      <c r="A8" s="258"/>
      <c r="B8" s="259">
        <v>6</v>
      </c>
      <c r="C8" s="260">
        <v>1</v>
      </c>
      <c r="D8" s="261" t="s">
        <v>610</v>
      </c>
      <c r="E8" s="262" t="s">
        <v>372</v>
      </c>
      <c r="F8" s="638"/>
      <c r="G8" s="871"/>
      <c r="H8" s="638"/>
      <c r="I8" s="871"/>
      <c r="J8" s="638"/>
      <c r="K8" s="871"/>
      <c r="L8" s="638"/>
      <c r="M8" s="871"/>
      <c r="N8" s="638"/>
      <c r="O8" s="871"/>
      <c r="P8" s="638"/>
      <c r="Q8" s="871"/>
      <c r="R8" s="638"/>
      <c r="S8" s="871"/>
      <c r="T8" s="638"/>
      <c r="U8" s="871"/>
      <c r="V8" s="638"/>
      <c r="W8" s="871"/>
      <c r="X8" s="638"/>
      <c r="Y8" s="871"/>
      <c r="Z8" s="638"/>
      <c r="AA8" s="871"/>
      <c r="AB8" s="638"/>
      <c r="AC8" s="871"/>
      <c r="AD8" s="638"/>
      <c r="AE8" s="871"/>
      <c r="AF8" s="638"/>
      <c r="AG8" s="871"/>
      <c r="AH8" s="638"/>
      <c r="AI8" s="871"/>
      <c r="AJ8" s="638"/>
      <c r="AK8" s="871"/>
      <c r="AL8" s="638"/>
      <c r="AM8" s="871"/>
      <c r="AN8" s="638"/>
      <c r="AO8" s="871"/>
      <c r="AP8" s="638"/>
      <c r="AQ8" s="871"/>
      <c r="AR8" s="638"/>
      <c r="AS8" s="871"/>
      <c r="AU8" s="264"/>
      <c r="AV8" s="105">
        <v>1</v>
      </c>
      <c r="AW8" s="265" t="s">
        <v>94</v>
      </c>
      <c r="AX8" s="266" t="s">
        <v>95</v>
      </c>
      <c r="AY8" s="267" t="str">
        <f>IF(OR(ISERR(AVERAGE(H8:AR8)),ISBLANK(F8)),"N/A",IF(OR(F8&lt;AVERAGE(H8:AR8)*0.75,F8&gt;AVERAGE(H8:AR8)*1.25),"&lt;&gt;Average","ok"))</f>
        <v>N/A</v>
      </c>
      <c r="AZ8" s="268"/>
      <c r="BA8" s="105" t="s">
        <v>99</v>
      </c>
      <c r="BB8" s="268"/>
      <c r="BC8" s="85" t="str">
        <f aca="true" t="shared" si="0" ref="BC8:BC13">IF(OR(ISBLANK(H8),ISBLANK(J8)),"N/A",IF(ABS((J8-H8)/H8)&gt;0.25,"&gt; 25%","ok"))</f>
        <v>N/A</v>
      </c>
      <c r="BD8" s="268"/>
      <c r="BE8" s="85" t="str">
        <f aca="true" t="shared" si="1" ref="BE8:BE13">IF(OR(ISBLANK(J8),ISBLANK(L8)),"N/A",IF(ABS((L8-J8)/J8)&gt;0.25,"&gt; 25%","ok"))</f>
        <v>N/A</v>
      </c>
      <c r="BF8" s="268"/>
      <c r="BG8" s="85" t="str">
        <f aca="true" t="shared" si="2" ref="BG8:BG13">IF(OR(ISBLANK(L8),ISBLANK(N8)),"N/A",IF(ABS((N8-L8)/L8)&gt;0.25,"&gt; 25%","ok"))</f>
        <v>N/A</v>
      </c>
      <c r="BH8" s="268"/>
      <c r="BI8" s="85" t="str">
        <f aca="true" t="shared" si="3" ref="BI8:BI13">IF(OR(ISBLANK(N8),ISBLANK(P8)),"N/A",IF(ABS((P8-N8)/N8)&gt;0.25,"&gt; 25%","ok"))</f>
        <v>N/A</v>
      </c>
      <c r="BJ8" s="268"/>
      <c r="BK8" s="85" t="str">
        <f aca="true" t="shared" si="4" ref="BK8:BK13">IF(OR(ISBLANK(P8),ISBLANK(R8)),"N/A",IF(ABS((R8-P8)/P8)&gt;0.25,"&gt; 25%","ok"))</f>
        <v>N/A</v>
      </c>
      <c r="BL8" s="268"/>
      <c r="BM8" s="85" t="str">
        <f aca="true" t="shared" si="5" ref="BM8:BM13">IF(OR(ISBLANK(R8),ISBLANK(T8)),"N/A",IF(ABS((T8-R8)/R8)&gt;0.25,"&gt; 25%","ok"))</f>
        <v>N/A</v>
      </c>
      <c r="BN8" s="268"/>
      <c r="BO8" s="85" t="str">
        <f aca="true" t="shared" si="6" ref="BO8:BO13">IF(OR(ISBLANK(T8),ISBLANK(V8)),"N/A",IF(ABS((V8-T8)/T8)&gt;0.25,"&gt; 25%","ok"))</f>
        <v>N/A</v>
      </c>
      <c r="BP8" s="268"/>
      <c r="BQ8" s="85" t="str">
        <f aca="true" t="shared" si="7" ref="BQ8:BQ13">IF(OR(ISBLANK(V8),ISBLANK(X8)),"N/A",IF(ABS((X8-V8)/V8)&gt;0.25,"&gt; 25%","ok"))</f>
        <v>N/A</v>
      </c>
      <c r="BR8" s="268"/>
      <c r="BS8" s="85" t="str">
        <f aca="true" t="shared" si="8" ref="BS8:BS13">IF(OR(ISBLANK(X8),ISBLANK(Z8)),"N/A",IF(ABS((Z8-X8)/X8)&gt;0.25,"&gt; 25%","ok"))</f>
        <v>N/A</v>
      </c>
      <c r="BT8" s="268"/>
      <c r="BU8" s="85" t="str">
        <f aca="true" t="shared" si="9" ref="BU8:BU13">IF(OR(ISBLANK(Z8),ISBLANK(AB8)),"N/A",IF(ABS((AB8-Z8)/Z8)&gt;0.25,"&gt; 25%","ok"))</f>
        <v>N/A</v>
      </c>
      <c r="BV8" s="268"/>
      <c r="BW8" s="85" t="str">
        <f aca="true" t="shared" si="10" ref="BW8:BW13">IF(OR(ISBLANK(AB8),ISBLANK(AD8)),"N/A",IF(ABS((AD8-AB8)/AB8)&gt;0.25,"&gt; 25%","ok"))</f>
        <v>N/A</v>
      </c>
      <c r="BX8" s="268"/>
      <c r="BY8" s="85" t="str">
        <f aca="true" t="shared" si="11" ref="BY8:BY13">IF(OR(ISBLANK(AD8),ISBLANK(AF8)),"N/A",IF(ABS((AF8-AD8)/AD8)&gt;0.25,"&gt; 25%","ok"))</f>
        <v>N/A</v>
      </c>
      <c r="BZ8" s="268"/>
      <c r="CA8" s="85" t="str">
        <f aca="true" t="shared" si="12" ref="CA8:CA13">IF(OR(ISBLANK(AF8),ISBLANK(AH8)),"N/A",IF(ABS((AH8-AF8)/AF8)&gt;0.25,"&gt; 25%","ok"))</f>
        <v>N/A</v>
      </c>
      <c r="CB8" s="268"/>
      <c r="CC8" s="85" t="str">
        <f aca="true" t="shared" si="13" ref="CC8:CC13">IF(OR(ISBLANK(AH8),ISBLANK(AJ8)),"N/A",IF(ABS((AJ8-AH8)/AH8)&gt;0.25,"&gt; 25%","ok"))</f>
        <v>N/A</v>
      </c>
      <c r="CD8" s="268"/>
      <c r="CE8" s="85" t="str">
        <f>IF(OR(ISBLANK(AJ8),ISBLANK(AL8)),"N/A",IF(ABS((AL8-AJ8)/AJ8)&gt;0.25,"&gt; 25%","ok"))</f>
        <v>N/A</v>
      </c>
      <c r="CF8" s="268"/>
      <c r="CG8" s="85" t="str">
        <f aca="true" t="shared" si="14" ref="CG8:CG13">IF(OR(ISBLANK(AL8),ISBLANK(AN8)),"N/A",IF(ABS((AN8-AL8)/AL8)&gt;0.25,"&gt; 25%","ok"))</f>
        <v>N/A</v>
      </c>
      <c r="CH8" s="268"/>
      <c r="CI8" s="85" t="str">
        <f>IF(OR(ISBLANK(AN8),ISBLANK(AP8)),"N/A",IF(ABS((AP8-AN8)/AN8)&gt;0.25,"&gt; 25%","ok"))</f>
        <v>N/A</v>
      </c>
      <c r="CJ8" s="268"/>
      <c r="CK8" s="85" t="str">
        <f>IF(OR(ISBLANK(AP8),ISBLANK(AR8)),"N/A",IF(ABS((AR8-AP8)/AP8)&gt;0.25,"&gt; 25%","ok"))</f>
        <v>N/A</v>
      </c>
      <c r="CM8" s="256">
        <v>8</v>
      </c>
      <c r="CN8" s="257" t="s">
        <v>399</v>
      </c>
      <c r="CO8" s="256">
        <v>42690</v>
      </c>
      <c r="CP8" s="256">
        <v>26900</v>
      </c>
      <c r="CQ8" s="256">
        <v>14800</v>
      </c>
      <c r="CR8" s="256">
        <v>41700</v>
      </c>
    </row>
    <row r="9" spans="1:96" s="263" customFormat="1" ht="20.25" customHeight="1">
      <c r="A9" s="258"/>
      <c r="B9" s="259">
        <v>7</v>
      </c>
      <c r="C9" s="269">
        <v>2</v>
      </c>
      <c r="D9" s="270" t="s">
        <v>608</v>
      </c>
      <c r="E9" s="269" t="s">
        <v>372</v>
      </c>
      <c r="F9" s="639"/>
      <c r="G9" s="872"/>
      <c r="H9" s="639"/>
      <c r="I9" s="872"/>
      <c r="J9" s="639"/>
      <c r="K9" s="872"/>
      <c r="L9" s="639"/>
      <c r="M9" s="872"/>
      <c r="N9" s="639"/>
      <c r="O9" s="872"/>
      <c r="P9" s="639"/>
      <c r="Q9" s="872"/>
      <c r="R9" s="639"/>
      <c r="S9" s="872"/>
      <c r="T9" s="639"/>
      <c r="U9" s="872"/>
      <c r="V9" s="639"/>
      <c r="W9" s="872"/>
      <c r="X9" s="639"/>
      <c r="Y9" s="872"/>
      <c r="Z9" s="639"/>
      <c r="AA9" s="872"/>
      <c r="AB9" s="639"/>
      <c r="AC9" s="872"/>
      <c r="AD9" s="639"/>
      <c r="AE9" s="872"/>
      <c r="AF9" s="639"/>
      <c r="AG9" s="872"/>
      <c r="AH9" s="639"/>
      <c r="AI9" s="872"/>
      <c r="AJ9" s="639"/>
      <c r="AK9" s="872"/>
      <c r="AL9" s="639"/>
      <c r="AM9" s="872"/>
      <c r="AN9" s="639"/>
      <c r="AO9" s="872"/>
      <c r="AP9" s="639"/>
      <c r="AQ9" s="872"/>
      <c r="AR9" s="639"/>
      <c r="AS9" s="872"/>
      <c r="AU9" s="264"/>
      <c r="AV9" s="87">
        <v>2</v>
      </c>
      <c r="AW9" s="271" t="s">
        <v>608</v>
      </c>
      <c r="AX9" s="88" t="s">
        <v>95</v>
      </c>
      <c r="AY9" s="87" t="str">
        <f aca="true" t="shared" si="15" ref="AY9:AY16">IF(OR(ISERR(AVERAGE(H9:AP9)),ISBLANK(F9)),"N/A",IF(OR(F9&lt;AVERAGE(H9:AP9)*0.75,F9&gt;AVERAGE(H9:AP9)*1.25),"&lt;&gt;Average","ok"))</f>
        <v>N/A</v>
      </c>
      <c r="AZ9" s="272"/>
      <c r="BA9" s="105" t="s">
        <v>99</v>
      </c>
      <c r="BB9" s="272"/>
      <c r="BC9" s="85" t="str">
        <f t="shared" si="0"/>
        <v>N/A</v>
      </c>
      <c r="BD9" s="272"/>
      <c r="BE9" s="85" t="str">
        <f t="shared" si="1"/>
        <v>N/A</v>
      </c>
      <c r="BF9" s="272"/>
      <c r="BG9" s="85" t="str">
        <f t="shared" si="2"/>
        <v>N/A</v>
      </c>
      <c r="BH9" s="272"/>
      <c r="BI9" s="85" t="str">
        <f t="shared" si="3"/>
        <v>N/A</v>
      </c>
      <c r="BJ9" s="272"/>
      <c r="BK9" s="85" t="str">
        <f t="shared" si="4"/>
        <v>N/A</v>
      </c>
      <c r="BL9" s="272"/>
      <c r="BM9" s="85" t="str">
        <f t="shared" si="5"/>
        <v>N/A</v>
      </c>
      <c r="BN9" s="272"/>
      <c r="BO9" s="85" t="str">
        <f t="shared" si="6"/>
        <v>N/A</v>
      </c>
      <c r="BP9" s="272"/>
      <c r="BQ9" s="85" t="str">
        <f t="shared" si="7"/>
        <v>N/A</v>
      </c>
      <c r="BR9" s="272"/>
      <c r="BS9" s="85" t="str">
        <f t="shared" si="8"/>
        <v>N/A</v>
      </c>
      <c r="BT9" s="272"/>
      <c r="BU9" s="85" t="str">
        <f t="shared" si="9"/>
        <v>N/A</v>
      </c>
      <c r="BV9" s="272"/>
      <c r="BW9" s="85" t="str">
        <f t="shared" si="10"/>
        <v>N/A</v>
      </c>
      <c r="BX9" s="272"/>
      <c r="BY9" s="85" t="str">
        <f t="shared" si="11"/>
        <v>N/A</v>
      </c>
      <c r="BZ9" s="272"/>
      <c r="CA9" s="85" t="str">
        <f t="shared" si="12"/>
        <v>N/A</v>
      </c>
      <c r="CB9" s="272"/>
      <c r="CC9" s="85" t="str">
        <f t="shared" si="13"/>
        <v>N/A</v>
      </c>
      <c r="CD9" s="272"/>
      <c r="CE9" s="85" t="str">
        <f aca="true" t="shared" si="16" ref="CE9:CE16">IF(OR(ISBLANK(AJ9),ISBLANK(AL9)),"N/A",IF(ABS((AL9-AJ9)/AJ9)&gt;0.25,"&gt; 25%","ok"))</f>
        <v>N/A</v>
      </c>
      <c r="CF9" s="272"/>
      <c r="CG9" s="85" t="str">
        <f t="shared" si="14"/>
        <v>N/A</v>
      </c>
      <c r="CH9" s="272"/>
      <c r="CI9" s="85" t="str">
        <f aca="true" t="shared" si="17" ref="CI9:CI16">IF(OR(ISBLANK(AN9),ISBLANK(AP9)),"N/A",IF(ABS((AP9-AN9)/AN9)&gt;0.25,"&gt; 25%","ok"))</f>
        <v>N/A</v>
      </c>
      <c r="CJ9" s="272"/>
      <c r="CK9" s="85" t="str">
        <f aca="true" t="shared" si="18" ref="CK9:CK16">IF(OR(ISBLANK(AP9),ISBLANK(AR9)),"N/A",IF(ABS((AR9-AP9)/AP9)&gt;0.25,"&gt; 25%","ok"))</f>
        <v>N/A</v>
      </c>
      <c r="CM9" s="256">
        <v>12</v>
      </c>
      <c r="CN9" s="257" t="s">
        <v>400</v>
      </c>
      <c r="CO9" s="256">
        <v>212000</v>
      </c>
      <c r="CP9" s="256">
        <v>11250</v>
      </c>
      <c r="CQ9" s="256">
        <v>420</v>
      </c>
      <c r="CR9" s="256">
        <v>11670</v>
      </c>
    </row>
    <row r="10" spans="1:96" s="274" customFormat="1" ht="20.25" customHeight="1">
      <c r="A10" s="273" t="s">
        <v>78</v>
      </c>
      <c r="B10" s="259">
        <v>5</v>
      </c>
      <c r="C10" s="260">
        <v>3</v>
      </c>
      <c r="D10" s="270" t="s">
        <v>23</v>
      </c>
      <c r="E10" s="269" t="s">
        <v>372</v>
      </c>
      <c r="F10" s="639"/>
      <c r="G10" s="872"/>
      <c r="H10" s="639"/>
      <c r="I10" s="872"/>
      <c r="J10" s="639"/>
      <c r="K10" s="872"/>
      <c r="L10" s="639"/>
      <c r="M10" s="872"/>
      <c r="N10" s="639"/>
      <c r="O10" s="872"/>
      <c r="P10" s="639"/>
      <c r="Q10" s="872"/>
      <c r="R10" s="639"/>
      <c r="S10" s="872"/>
      <c r="T10" s="639"/>
      <c r="U10" s="872"/>
      <c r="V10" s="639"/>
      <c r="W10" s="872"/>
      <c r="X10" s="639"/>
      <c r="Y10" s="872"/>
      <c r="Z10" s="639"/>
      <c r="AA10" s="872"/>
      <c r="AB10" s="639"/>
      <c r="AC10" s="872"/>
      <c r="AD10" s="639"/>
      <c r="AE10" s="872"/>
      <c r="AF10" s="639"/>
      <c r="AG10" s="872"/>
      <c r="AH10" s="639"/>
      <c r="AI10" s="872"/>
      <c r="AJ10" s="639"/>
      <c r="AK10" s="872"/>
      <c r="AL10" s="639"/>
      <c r="AM10" s="872"/>
      <c r="AN10" s="639"/>
      <c r="AO10" s="872"/>
      <c r="AP10" s="639"/>
      <c r="AQ10" s="872"/>
      <c r="AR10" s="639"/>
      <c r="AS10" s="872"/>
      <c r="AU10" s="275"/>
      <c r="AV10" s="105">
        <v>3</v>
      </c>
      <c r="AW10" s="271" t="s">
        <v>23</v>
      </c>
      <c r="AX10" s="87" t="s">
        <v>95</v>
      </c>
      <c r="AY10" s="87" t="str">
        <f t="shared" si="15"/>
        <v>N/A</v>
      </c>
      <c r="AZ10" s="272"/>
      <c r="BA10" s="105" t="s">
        <v>99</v>
      </c>
      <c r="BB10" s="272"/>
      <c r="BC10" s="85" t="str">
        <f t="shared" si="0"/>
        <v>N/A</v>
      </c>
      <c r="BD10" s="272"/>
      <c r="BE10" s="85" t="str">
        <f t="shared" si="1"/>
        <v>N/A</v>
      </c>
      <c r="BF10" s="272"/>
      <c r="BG10" s="85" t="str">
        <f t="shared" si="2"/>
        <v>N/A</v>
      </c>
      <c r="BH10" s="272"/>
      <c r="BI10" s="85" t="str">
        <f t="shared" si="3"/>
        <v>N/A</v>
      </c>
      <c r="BJ10" s="272"/>
      <c r="BK10" s="85" t="str">
        <f t="shared" si="4"/>
        <v>N/A</v>
      </c>
      <c r="BL10" s="272"/>
      <c r="BM10" s="85" t="str">
        <f t="shared" si="5"/>
        <v>N/A</v>
      </c>
      <c r="BN10" s="272"/>
      <c r="BO10" s="85" t="str">
        <f t="shared" si="6"/>
        <v>N/A</v>
      </c>
      <c r="BP10" s="272"/>
      <c r="BQ10" s="85" t="str">
        <f t="shared" si="7"/>
        <v>N/A</v>
      </c>
      <c r="BR10" s="272"/>
      <c r="BS10" s="85" t="str">
        <f t="shared" si="8"/>
        <v>N/A</v>
      </c>
      <c r="BT10" s="272"/>
      <c r="BU10" s="85" t="str">
        <f t="shared" si="9"/>
        <v>N/A</v>
      </c>
      <c r="BV10" s="272"/>
      <c r="BW10" s="85" t="str">
        <f t="shared" si="10"/>
        <v>N/A</v>
      </c>
      <c r="BX10" s="272"/>
      <c r="BY10" s="85" t="str">
        <f t="shared" si="11"/>
        <v>N/A</v>
      </c>
      <c r="BZ10" s="272"/>
      <c r="CA10" s="85" t="str">
        <f t="shared" si="12"/>
        <v>N/A</v>
      </c>
      <c r="CB10" s="272"/>
      <c r="CC10" s="85" t="str">
        <f t="shared" si="13"/>
        <v>N/A</v>
      </c>
      <c r="CD10" s="272"/>
      <c r="CE10" s="85" t="str">
        <f t="shared" si="16"/>
        <v>N/A</v>
      </c>
      <c r="CF10" s="272"/>
      <c r="CG10" s="85" t="str">
        <f t="shared" si="14"/>
        <v>N/A</v>
      </c>
      <c r="CH10" s="272"/>
      <c r="CI10" s="85" t="str">
        <f t="shared" si="17"/>
        <v>N/A</v>
      </c>
      <c r="CJ10" s="272"/>
      <c r="CK10" s="85" t="str">
        <f t="shared" si="18"/>
        <v>N/A</v>
      </c>
      <c r="CM10" s="256">
        <v>20</v>
      </c>
      <c r="CN10" s="257" t="s">
        <v>174</v>
      </c>
      <c r="CO10" s="256">
        <v>472.4</v>
      </c>
      <c r="CP10" s="256">
        <v>315.6</v>
      </c>
      <c r="CQ10" s="256">
        <v>0</v>
      </c>
      <c r="CR10" s="256">
        <v>315.6</v>
      </c>
    </row>
    <row r="11" spans="1:96" s="263" customFormat="1" ht="34.5" customHeight="1">
      <c r="A11" s="258"/>
      <c r="B11" s="259">
        <v>8</v>
      </c>
      <c r="C11" s="269">
        <v>4</v>
      </c>
      <c r="D11" s="276" t="s">
        <v>254</v>
      </c>
      <c r="E11" s="269" t="s">
        <v>372</v>
      </c>
      <c r="F11" s="639"/>
      <c r="G11" s="872"/>
      <c r="H11" s="639"/>
      <c r="I11" s="872"/>
      <c r="J11" s="639"/>
      <c r="K11" s="872"/>
      <c r="L11" s="639"/>
      <c r="M11" s="872"/>
      <c r="N11" s="639"/>
      <c r="O11" s="872"/>
      <c r="P11" s="639"/>
      <c r="Q11" s="872"/>
      <c r="R11" s="639"/>
      <c r="S11" s="872"/>
      <c r="T11" s="639"/>
      <c r="U11" s="872"/>
      <c r="V11" s="639"/>
      <c r="W11" s="872"/>
      <c r="X11" s="639"/>
      <c r="Y11" s="872"/>
      <c r="Z11" s="639"/>
      <c r="AA11" s="872"/>
      <c r="AB11" s="639"/>
      <c r="AC11" s="872"/>
      <c r="AD11" s="639"/>
      <c r="AE11" s="872"/>
      <c r="AF11" s="639"/>
      <c r="AG11" s="872"/>
      <c r="AH11" s="639"/>
      <c r="AI11" s="872"/>
      <c r="AJ11" s="639"/>
      <c r="AK11" s="872"/>
      <c r="AL11" s="639"/>
      <c r="AM11" s="872"/>
      <c r="AN11" s="639"/>
      <c r="AO11" s="872"/>
      <c r="AP11" s="639"/>
      <c r="AQ11" s="872"/>
      <c r="AR11" s="639"/>
      <c r="AS11" s="872"/>
      <c r="AU11" s="264"/>
      <c r="AV11" s="87">
        <v>4</v>
      </c>
      <c r="AW11" s="271" t="s">
        <v>254</v>
      </c>
      <c r="AX11" s="88" t="s">
        <v>95</v>
      </c>
      <c r="AY11" s="87" t="str">
        <f t="shared" si="15"/>
        <v>N/A</v>
      </c>
      <c r="AZ11" s="272"/>
      <c r="BA11" s="105" t="s">
        <v>99</v>
      </c>
      <c r="BB11" s="272"/>
      <c r="BC11" s="85" t="str">
        <f t="shared" si="0"/>
        <v>N/A</v>
      </c>
      <c r="BD11" s="272"/>
      <c r="BE11" s="85" t="str">
        <f t="shared" si="1"/>
        <v>N/A</v>
      </c>
      <c r="BF11" s="272"/>
      <c r="BG11" s="85" t="str">
        <f t="shared" si="2"/>
        <v>N/A</v>
      </c>
      <c r="BH11" s="272"/>
      <c r="BI11" s="85" t="str">
        <f t="shared" si="3"/>
        <v>N/A</v>
      </c>
      <c r="BJ11" s="272"/>
      <c r="BK11" s="85" t="str">
        <f t="shared" si="4"/>
        <v>N/A</v>
      </c>
      <c r="BL11" s="272"/>
      <c r="BM11" s="85" t="str">
        <f t="shared" si="5"/>
        <v>N/A</v>
      </c>
      <c r="BN11" s="272"/>
      <c r="BO11" s="85" t="str">
        <f t="shared" si="6"/>
        <v>N/A</v>
      </c>
      <c r="BP11" s="272"/>
      <c r="BQ11" s="85" t="str">
        <f t="shared" si="7"/>
        <v>N/A</v>
      </c>
      <c r="BR11" s="272"/>
      <c r="BS11" s="85" t="str">
        <f t="shared" si="8"/>
        <v>N/A</v>
      </c>
      <c r="BT11" s="272"/>
      <c r="BU11" s="85" t="str">
        <f t="shared" si="9"/>
        <v>N/A</v>
      </c>
      <c r="BV11" s="272"/>
      <c r="BW11" s="85" t="str">
        <f t="shared" si="10"/>
        <v>N/A</v>
      </c>
      <c r="BX11" s="272"/>
      <c r="BY11" s="85" t="str">
        <f t="shared" si="11"/>
        <v>N/A</v>
      </c>
      <c r="BZ11" s="272"/>
      <c r="CA11" s="85" t="str">
        <f t="shared" si="12"/>
        <v>N/A</v>
      </c>
      <c r="CB11" s="272"/>
      <c r="CC11" s="85" t="str">
        <f t="shared" si="13"/>
        <v>N/A</v>
      </c>
      <c r="CD11" s="272"/>
      <c r="CE11" s="85" t="str">
        <f t="shared" si="16"/>
        <v>N/A</v>
      </c>
      <c r="CF11" s="272"/>
      <c r="CG11" s="85" t="str">
        <f t="shared" si="14"/>
        <v>N/A</v>
      </c>
      <c r="CH11" s="272"/>
      <c r="CI11" s="85" t="str">
        <f t="shared" si="17"/>
        <v>N/A</v>
      </c>
      <c r="CJ11" s="272"/>
      <c r="CK11" s="85" t="str">
        <f t="shared" si="18"/>
        <v>N/A</v>
      </c>
      <c r="CM11" s="256">
        <v>24</v>
      </c>
      <c r="CN11" s="257" t="s">
        <v>401</v>
      </c>
      <c r="CO11" s="256">
        <v>1259000</v>
      </c>
      <c r="CP11" s="256">
        <v>148000</v>
      </c>
      <c r="CQ11" s="256">
        <v>0</v>
      </c>
      <c r="CR11" s="256">
        <v>148000</v>
      </c>
    </row>
    <row r="12" spans="1:96" s="280" customFormat="1" ht="34.5" customHeight="1">
      <c r="A12" s="273" t="s">
        <v>78</v>
      </c>
      <c r="B12" s="259">
        <v>124</v>
      </c>
      <c r="C12" s="277">
        <v>5</v>
      </c>
      <c r="D12" s="278" t="s">
        <v>22</v>
      </c>
      <c r="E12" s="279" t="s">
        <v>372</v>
      </c>
      <c r="F12" s="640"/>
      <c r="G12" s="873"/>
      <c r="H12" s="640"/>
      <c r="I12" s="873"/>
      <c r="J12" s="640"/>
      <c r="K12" s="873"/>
      <c r="L12" s="640"/>
      <c r="M12" s="873"/>
      <c r="N12" s="640"/>
      <c r="O12" s="873"/>
      <c r="P12" s="640"/>
      <c r="Q12" s="873"/>
      <c r="R12" s="640"/>
      <c r="S12" s="873"/>
      <c r="T12" s="640"/>
      <c r="U12" s="873"/>
      <c r="V12" s="640"/>
      <c r="W12" s="873"/>
      <c r="X12" s="640"/>
      <c r="Y12" s="873"/>
      <c r="Z12" s="640"/>
      <c r="AA12" s="873"/>
      <c r="AB12" s="640"/>
      <c r="AC12" s="873"/>
      <c r="AD12" s="640"/>
      <c r="AE12" s="873"/>
      <c r="AF12" s="640"/>
      <c r="AG12" s="873"/>
      <c r="AH12" s="640"/>
      <c r="AI12" s="873"/>
      <c r="AJ12" s="640"/>
      <c r="AK12" s="873"/>
      <c r="AL12" s="640"/>
      <c r="AM12" s="873"/>
      <c r="AN12" s="640"/>
      <c r="AO12" s="873"/>
      <c r="AP12" s="640"/>
      <c r="AQ12" s="873"/>
      <c r="AR12" s="640"/>
      <c r="AS12" s="873"/>
      <c r="AU12" s="275"/>
      <c r="AV12" s="105">
        <v>5</v>
      </c>
      <c r="AW12" s="281" t="s">
        <v>22</v>
      </c>
      <c r="AX12" s="88" t="s">
        <v>95</v>
      </c>
      <c r="AY12" s="87" t="str">
        <f t="shared" si="15"/>
        <v>N/A</v>
      </c>
      <c r="AZ12" s="272"/>
      <c r="BA12" s="105" t="s">
        <v>99</v>
      </c>
      <c r="BB12" s="272"/>
      <c r="BC12" s="85" t="str">
        <f t="shared" si="0"/>
        <v>N/A</v>
      </c>
      <c r="BD12" s="272"/>
      <c r="BE12" s="85" t="str">
        <f t="shared" si="1"/>
        <v>N/A</v>
      </c>
      <c r="BF12" s="272"/>
      <c r="BG12" s="85" t="str">
        <f t="shared" si="2"/>
        <v>N/A</v>
      </c>
      <c r="BH12" s="272"/>
      <c r="BI12" s="85" t="str">
        <f t="shared" si="3"/>
        <v>N/A</v>
      </c>
      <c r="BJ12" s="272"/>
      <c r="BK12" s="85" t="str">
        <f t="shared" si="4"/>
        <v>N/A</v>
      </c>
      <c r="BL12" s="272"/>
      <c r="BM12" s="85" t="str">
        <f t="shared" si="5"/>
        <v>N/A</v>
      </c>
      <c r="BN12" s="272"/>
      <c r="BO12" s="85" t="str">
        <f t="shared" si="6"/>
        <v>N/A</v>
      </c>
      <c r="BP12" s="272"/>
      <c r="BQ12" s="85" t="str">
        <f t="shared" si="7"/>
        <v>N/A</v>
      </c>
      <c r="BR12" s="272"/>
      <c r="BS12" s="85" t="str">
        <f t="shared" si="8"/>
        <v>N/A</v>
      </c>
      <c r="BT12" s="272"/>
      <c r="BU12" s="85" t="str">
        <f t="shared" si="9"/>
        <v>N/A</v>
      </c>
      <c r="BV12" s="272"/>
      <c r="BW12" s="85" t="str">
        <f t="shared" si="10"/>
        <v>N/A</v>
      </c>
      <c r="BX12" s="272"/>
      <c r="BY12" s="85" t="str">
        <f t="shared" si="11"/>
        <v>N/A</v>
      </c>
      <c r="BZ12" s="272"/>
      <c r="CA12" s="85" t="str">
        <f t="shared" si="12"/>
        <v>N/A</v>
      </c>
      <c r="CB12" s="272"/>
      <c r="CC12" s="85" t="str">
        <f t="shared" si="13"/>
        <v>N/A</v>
      </c>
      <c r="CD12" s="272"/>
      <c r="CE12" s="85" t="str">
        <f t="shared" si="16"/>
        <v>N/A</v>
      </c>
      <c r="CF12" s="272"/>
      <c r="CG12" s="85" t="str">
        <f t="shared" si="14"/>
        <v>N/A</v>
      </c>
      <c r="CH12" s="272"/>
      <c r="CI12" s="85" t="str">
        <f t="shared" si="17"/>
        <v>N/A</v>
      </c>
      <c r="CJ12" s="272"/>
      <c r="CK12" s="85" t="str">
        <f t="shared" si="18"/>
        <v>N/A</v>
      </c>
      <c r="CM12" s="256">
        <v>28</v>
      </c>
      <c r="CN12" s="257" t="s">
        <v>402</v>
      </c>
      <c r="CO12" s="256">
        <v>453.2</v>
      </c>
      <c r="CP12" s="256">
        <v>52</v>
      </c>
      <c r="CQ12" s="256">
        <v>0</v>
      </c>
      <c r="CR12" s="256">
        <v>52</v>
      </c>
    </row>
    <row r="13" spans="1:96" s="280" customFormat="1" ht="34.5" customHeight="1">
      <c r="A13" s="282" t="s">
        <v>78</v>
      </c>
      <c r="B13" s="259">
        <v>127</v>
      </c>
      <c r="C13" s="269">
        <v>6</v>
      </c>
      <c r="D13" s="276" t="s">
        <v>252</v>
      </c>
      <c r="E13" s="283" t="s">
        <v>372</v>
      </c>
      <c r="F13" s="641"/>
      <c r="G13" s="872"/>
      <c r="H13" s="641"/>
      <c r="I13" s="872"/>
      <c r="J13" s="641"/>
      <c r="K13" s="872"/>
      <c r="L13" s="641"/>
      <c r="M13" s="872"/>
      <c r="N13" s="641"/>
      <c r="O13" s="872"/>
      <c r="P13" s="641"/>
      <c r="Q13" s="872"/>
      <c r="R13" s="641"/>
      <c r="S13" s="872"/>
      <c r="T13" s="641"/>
      <c r="U13" s="872"/>
      <c r="V13" s="641"/>
      <c r="W13" s="872"/>
      <c r="X13" s="641"/>
      <c r="Y13" s="872"/>
      <c r="Z13" s="641"/>
      <c r="AA13" s="872"/>
      <c r="AB13" s="641"/>
      <c r="AC13" s="872"/>
      <c r="AD13" s="641"/>
      <c r="AE13" s="872"/>
      <c r="AF13" s="641"/>
      <c r="AG13" s="872"/>
      <c r="AH13" s="641"/>
      <c r="AI13" s="872"/>
      <c r="AJ13" s="641"/>
      <c r="AK13" s="872"/>
      <c r="AL13" s="641"/>
      <c r="AM13" s="872"/>
      <c r="AN13" s="641"/>
      <c r="AO13" s="872"/>
      <c r="AP13" s="641"/>
      <c r="AQ13" s="872"/>
      <c r="AR13" s="641"/>
      <c r="AS13" s="872"/>
      <c r="AU13" s="275"/>
      <c r="AV13" s="105">
        <v>6</v>
      </c>
      <c r="AW13" s="271" t="s">
        <v>600</v>
      </c>
      <c r="AX13" s="88" t="s">
        <v>95</v>
      </c>
      <c r="AY13" s="284" t="str">
        <f t="shared" si="15"/>
        <v>N/A</v>
      </c>
      <c r="AZ13" s="285"/>
      <c r="BA13" s="87" t="s">
        <v>99</v>
      </c>
      <c r="BB13" s="285"/>
      <c r="BC13" s="85" t="str">
        <f t="shared" si="0"/>
        <v>N/A</v>
      </c>
      <c r="BD13" s="285"/>
      <c r="BE13" s="85" t="str">
        <f t="shared" si="1"/>
        <v>N/A</v>
      </c>
      <c r="BF13" s="285"/>
      <c r="BG13" s="88" t="str">
        <f t="shared" si="2"/>
        <v>N/A</v>
      </c>
      <c r="BH13" s="272"/>
      <c r="BI13" s="88" t="str">
        <f t="shared" si="3"/>
        <v>N/A</v>
      </c>
      <c r="BJ13" s="272"/>
      <c r="BK13" s="88" t="str">
        <f t="shared" si="4"/>
        <v>N/A</v>
      </c>
      <c r="BL13" s="272"/>
      <c r="BM13" s="88" t="str">
        <f t="shared" si="5"/>
        <v>N/A</v>
      </c>
      <c r="BN13" s="272"/>
      <c r="BO13" s="88" t="str">
        <f t="shared" si="6"/>
        <v>N/A</v>
      </c>
      <c r="BP13" s="272"/>
      <c r="BQ13" s="85" t="str">
        <f t="shared" si="7"/>
        <v>N/A</v>
      </c>
      <c r="BR13" s="285"/>
      <c r="BS13" s="85" t="str">
        <f t="shared" si="8"/>
        <v>N/A</v>
      </c>
      <c r="BT13" s="285"/>
      <c r="BU13" s="85" t="str">
        <f t="shared" si="9"/>
        <v>N/A</v>
      </c>
      <c r="BV13" s="285"/>
      <c r="BW13" s="85" t="str">
        <f t="shared" si="10"/>
        <v>N/A</v>
      </c>
      <c r="BX13" s="285"/>
      <c r="BY13" s="85" t="str">
        <f t="shared" si="11"/>
        <v>N/A</v>
      </c>
      <c r="BZ13" s="285"/>
      <c r="CA13" s="85" t="str">
        <f t="shared" si="12"/>
        <v>N/A</v>
      </c>
      <c r="CB13" s="285"/>
      <c r="CC13" s="85" t="str">
        <f t="shared" si="13"/>
        <v>N/A</v>
      </c>
      <c r="CD13" s="285"/>
      <c r="CE13" s="85" t="str">
        <f t="shared" si="16"/>
        <v>N/A</v>
      </c>
      <c r="CF13" s="285"/>
      <c r="CG13" s="85" t="str">
        <f t="shared" si="14"/>
        <v>N/A</v>
      </c>
      <c r="CH13" s="285"/>
      <c r="CI13" s="85" t="str">
        <f t="shared" si="17"/>
        <v>N/A</v>
      </c>
      <c r="CJ13" s="285"/>
      <c r="CK13" s="85" t="str">
        <f t="shared" si="18"/>
        <v>N/A</v>
      </c>
      <c r="CM13" s="256">
        <v>32</v>
      </c>
      <c r="CN13" s="257" t="s">
        <v>403</v>
      </c>
      <c r="CO13" s="256">
        <v>1643000</v>
      </c>
      <c r="CP13" s="256">
        <v>276000</v>
      </c>
      <c r="CQ13" s="256">
        <v>5000</v>
      </c>
      <c r="CR13" s="256">
        <v>814000</v>
      </c>
    </row>
    <row r="14" spans="1:96" s="280" customFormat="1" ht="34.5" customHeight="1">
      <c r="A14" s="273"/>
      <c r="B14" s="259">
        <v>125</v>
      </c>
      <c r="C14" s="283">
        <v>7</v>
      </c>
      <c r="D14" s="286" t="s">
        <v>344</v>
      </c>
      <c r="E14" s="283" t="s">
        <v>372</v>
      </c>
      <c r="F14" s="642"/>
      <c r="G14" s="874"/>
      <c r="H14" s="642"/>
      <c r="I14" s="874"/>
      <c r="J14" s="642"/>
      <c r="K14" s="874"/>
      <c r="L14" s="642"/>
      <c r="M14" s="874"/>
      <c r="N14" s="642"/>
      <c r="O14" s="874"/>
      <c r="P14" s="642"/>
      <c r="Q14" s="874"/>
      <c r="R14" s="642"/>
      <c r="S14" s="874"/>
      <c r="T14" s="642"/>
      <c r="U14" s="874"/>
      <c r="V14" s="642"/>
      <c r="W14" s="874"/>
      <c r="X14" s="642"/>
      <c r="Y14" s="874"/>
      <c r="Z14" s="642"/>
      <c r="AA14" s="874"/>
      <c r="AB14" s="642"/>
      <c r="AC14" s="874"/>
      <c r="AD14" s="642"/>
      <c r="AE14" s="874"/>
      <c r="AF14" s="642"/>
      <c r="AG14" s="874"/>
      <c r="AH14" s="642"/>
      <c r="AI14" s="874"/>
      <c r="AJ14" s="642"/>
      <c r="AK14" s="874"/>
      <c r="AL14" s="642"/>
      <c r="AM14" s="874"/>
      <c r="AN14" s="642"/>
      <c r="AO14" s="874"/>
      <c r="AP14" s="642"/>
      <c r="AQ14" s="874"/>
      <c r="AR14" s="642"/>
      <c r="AS14" s="874"/>
      <c r="AU14" s="275"/>
      <c r="AV14" s="87">
        <v>7</v>
      </c>
      <c r="AW14" s="287" t="s">
        <v>618</v>
      </c>
      <c r="AX14" s="88" t="s">
        <v>95</v>
      </c>
      <c r="AY14" s="284" t="str">
        <f t="shared" si="15"/>
        <v>N/A</v>
      </c>
      <c r="AZ14" s="285"/>
      <c r="BA14" s="87" t="s">
        <v>99</v>
      </c>
      <c r="BB14" s="285"/>
      <c r="BC14" s="85" t="str">
        <f>IF(OR(ISBLANK(H14),ISBLANK(J14)),"N/A",IF(ABS((J14-H14)/H14)&gt;0.25,"&gt; 25%","ok"))</f>
        <v>N/A</v>
      </c>
      <c r="BD14" s="285"/>
      <c r="BE14" s="85" t="str">
        <f>IF(OR(ISBLANK(J14),ISBLANK(L14)),"N/A",IF(ABS((L14-J14)/J14)&gt;0.25,"&gt; 25%","ok"))</f>
        <v>N/A</v>
      </c>
      <c r="BF14" s="285"/>
      <c r="BG14" s="102" t="str">
        <f>IF(OR(ISBLANK(L14),ISBLANK(N14)),"N/A",IF(ABS((N14-L14)/L14)&gt;0.25,"&gt; 25%","ok"))</f>
        <v>N/A</v>
      </c>
      <c r="BH14" s="288"/>
      <c r="BI14" s="102" t="str">
        <f>IF(OR(ISBLANK(N14),ISBLANK(P14)),"N/A",IF(ABS((P14-N14)/N14)&gt;0.25,"&gt; 25%","ok"))</f>
        <v>N/A</v>
      </c>
      <c r="BJ14" s="288"/>
      <c r="BK14" s="102" t="str">
        <f>IF(OR(ISBLANK(P14),ISBLANK(R14)),"N/A",IF(ABS((R14-P14)/P14)&gt;0.25,"&gt; 25%","ok"))</f>
        <v>N/A</v>
      </c>
      <c r="BL14" s="288"/>
      <c r="BM14" s="102" t="str">
        <f>IF(OR(ISBLANK(R14),ISBLANK(T14)),"N/A",IF(ABS((T14-R14)/R14)&gt;0.25,"&gt; 25%","ok"))</f>
        <v>N/A</v>
      </c>
      <c r="BN14" s="288"/>
      <c r="BO14" s="102" t="str">
        <f>IF(OR(ISBLANK(T14),ISBLANK(V14)),"N/A",IF(ABS((V14-T14)/T14)&gt;0.25,"&gt; 25%","ok"))</f>
        <v>N/A</v>
      </c>
      <c r="BP14" s="285"/>
      <c r="BQ14" s="85" t="str">
        <f>IF(OR(ISBLANK(V14),ISBLANK(X14)),"N/A",IF(ABS((X14-V14)/V14)&gt;0.25,"&gt; 25%","ok"))</f>
        <v>N/A</v>
      </c>
      <c r="BR14" s="285"/>
      <c r="BS14" s="85" t="str">
        <f>IF(OR(ISBLANK(X14),ISBLANK(Z14)),"N/A",IF(ABS((Z14-X14)/X14)&gt;0.25,"&gt; 25%","ok"))</f>
        <v>N/A</v>
      </c>
      <c r="BT14" s="285"/>
      <c r="BU14" s="85" t="str">
        <f>IF(OR(ISBLANK(Z14),ISBLANK(AB14)),"N/A",IF(ABS((AB14-Z14)/Z14)&gt;0.25,"&gt; 25%","ok"))</f>
        <v>N/A</v>
      </c>
      <c r="BV14" s="285"/>
      <c r="BW14" s="85" t="str">
        <f>IF(OR(ISBLANK(AB14),ISBLANK(AD14)),"N/A",IF(ABS((AD14-AB14)/AB14)&gt;0.25,"&gt; 25%","ok"))</f>
        <v>N/A</v>
      </c>
      <c r="BX14" s="285"/>
      <c r="BY14" s="85" t="str">
        <f>IF(OR(ISBLANK(AD14),ISBLANK(AF14)),"N/A",IF(ABS((AF14-AD14)/AD14)&gt;0.25,"&gt; 25%","ok"))</f>
        <v>N/A</v>
      </c>
      <c r="BZ14" s="285"/>
      <c r="CA14" s="85" t="str">
        <f>IF(OR(ISBLANK(AF14),ISBLANK(AH14)),"N/A",IF(ABS((AH14-AF14)/AF14)&gt;0.25,"&gt; 25%","ok"))</f>
        <v>N/A</v>
      </c>
      <c r="CB14" s="285"/>
      <c r="CC14" s="85" t="str">
        <f>IF(OR(ISBLANK(AH14),ISBLANK(AJ14)),"N/A",IF(ABS((AJ14-AH14)/AH14)&gt;0.25,"&gt; 25%","ok"))</f>
        <v>N/A</v>
      </c>
      <c r="CD14" s="285"/>
      <c r="CE14" s="85" t="str">
        <f t="shared" si="16"/>
        <v>N/A</v>
      </c>
      <c r="CF14" s="285"/>
      <c r="CG14" s="85" t="str">
        <f>IF(OR(ISBLANK(AL14),ISBLANK(AN14)),"N/A",IF(ABS((AN14-AL14)/AL14)&gt;0.25,"&gt; 25%","ok"))</f>
        <v>N/A</v>
      </c>
      <c r="CH14" s="285"/>
      <c r="CI14" s="85" t="str">
        <f t="shared" si="17"/>
        <v>N/A</v>
      </c>
      <c r="CJ14" s="285"/>
      <c r="CK14" s="85" t="str">
        <f t="shared" si="18"/>
        <v>N/A</v>
      </c>
      <c r="CM14" s="256">
        <v>51</v>
      </c>
      <c r="CN14" s="257" t="s">
        <v>404</v>
      </c>
      <c r="CO14" s="256">
        <v>16710</v>
      </c>
      <c r="CP14" s="256">
        <v>6859</v>
      </c>
      <c r="CQ14" s="256">
        <v>0</v>
      </c>
      <c r="CR14" s="256">
        <v>7769</v>
      </c>
    </row>
    <row r="15" spans="1:96" s="280" customFormat="1" ht="20.25" customHeight="1">
      <c r="A15" s="273"/>
      <c r="B15" s="259">
        <v>126</v>
      </c>
      <c r="C15" s="283">
        <v>8</v>
      </c>
      <c r="D15" s="289" t="s">
        <v>345</v>
      </c>
      <c r="E15" s="283" t="s">
        <v>372</v>
      </c>
      <c r="F15" s="642"/>
      <c r="G15" s="874"/>
      <c r="H15" s="642"/>
      <c r="I15" s="874"/>
      <c r="J15" s="642"/>
      <c r="K15" s="874"/>
      <c r="L15" s="642"/>
      <c r="M15" s="874"/>
      <c r="N15" s="642"/>
      <c r="O15" s="874"/>
      <c r="P15" s="642"/>
      <c r="Q15" s="874"/>
      <c r="R15" s="642"/>
      <c r="S15" s="874"/>
      <c r="T15" s="642"/>
      <c r="U15" s="874"/>
      <c r="V15" s="642"/>
      <c r="W15" s="874"/>
      <c r="X15" s="642"/>
      <c r="Y15" s="874"/>
      <c r="Z15" s="642"/>
      <c r="AA15" s="874"/>
      <c r="AB15" s="642"/>
      <c r="AC15" s="874"/>
      <c r="AD15" s="642"/>
      <c r="AE15" s="874"/>
      <c r="AF15" s="642"/>
      <c r="AG15" s="874"/>
      <c r="AH15" s="642"/>
      <c r="AI15" s="874"/>
      <c r="AJ15" s="642"/>
      <c r="AK15" s="874"/>
      <c r="AL15" s="642"/>
      <c r="AM15" s="874"/>
      <c r="AN15" s="642"/>
      <c r="AO15" s="874"/>
      <c r="AP15" s="642"/>
      <c r="AQ15" s="874"/>
      <c r="AR15" s="642"/>
      <c r="AS15" s="874"/>
      <c r="AU15" s="275"/>
      <c r="AV15" s="105">
        <v>8</v>
      </c>
      <c r="AW15" s="290" t="s">
        <v>149</v>
      </c>
      <c r="AX15" s="88" t="s">
        <v>95</v>
      </c>
      <c r="AY15" s="284" t="str">
        <f t="shared" si="15"/>
        <v>N/A</v>
      </c>
      <c r="AZ15" s="285"/>
      <c r="BA15" s="87" t="s">
        <v>99</v>
      </c>
      <c r="BB15" s="272"/>
      <c r="BC15" s="85" t="str">
        <f>IF(OR(ISBLANK(H15),ISBLANK(J15)),"N/A",IF(ABS((J15-H15)/H15)&gt;0.25,"&gt; 25%","ok"))</f>
        <v>N/A</v>
      </c>
      <c r="BD15" s="285"/>
      <c r="BE15" s="85" t="str">
        <f>IF(OR(ISBLANK(J15),ISBLANK(L15)),"N/A",IF(ABS((L15-J15)/J15)&gt;0.25,"&gt; 25%","ok"))</f>
        <v>N/A</v>
      </c>
      <c r="BF15" s="285"/>
      <c r="BG15" s="88" t="str">
        <f>IF(OR(ISBLANK(L15),ISBLANK(N15)),"N/A",IF(ABS((N15-L15)/L15)&gt;0.25,"&gt; 25%","ok"))</f>
        <v>N/A</v>
      </c>
      <c r="BH15" s="272"/>
      <c r="BI15" s="88" t="str">
        <f>IF(OR(ISBLANK(N15),ISBLANK(P15)),"N/A",IF(ABS((P15-N15)/N15)&gt;0.25,"&gt; 25%","ok"))</f>
        <v>N/A</v>
      </c>
      <c r="BJ15" s="272"/>
      <c r="BK15" s="88" t="str">
        <f>IF(OR(ISBLANK(P15),ISBLANK(R15)),"N/A",IF(ABS((R15-P15)/P15)&gt;0.25,"&gt; 25%","ok"))</f>
        <v>N/A</v>
      </c>
      <c r="BL15" s="272"/>
      <c r="BM15" s="88" t="str">
        <f>IF(OR(ISBLANK(R15),ISBLANK(T15)),"N/A",IF(ABS((T15-R15)/R15)&gt;0.25,"&gt; 25%","ok"))</f>
        <v>N/A</v>
      </c>
      <c r="BN15" s="272"/>
      <c r="BO15" s="88" t="str">
        <f>IF(OR(ISBLANK(T15),ISBLANK(V15)),"N/A",IF(ABS((V15-T15)/T15)&gt;0.25,"&gt; 25%","ok"))</f>
        <v>N/A</v>
      </c>
      <c r="BP15" s="272"/>
      <c r="BQ15" s="85" t="str">
        <f>IF(OR(ISBLANK(V15),ISBLANK(X15)),"N/A",IF(ABS((X15-V15)/V15)&gt;0.25,"&gt; 25%","ok"))</f>
        <v>N/A</v>
      </c>
      <c r="BR15" s="285"/>
      <c r="BS15" s="85" t="str">
        <f>IF(OR(ISBLANK(X15),ISBLANK(Z15)),"N/A",IF(ABS((Z15-X15)/X15)&gt;0.25,"&gt; 25%","ok"))</f>
        <v>N/A</v>
      </c>
      <c r="BT15" s="285"/>
      <c r="BU15" s="85" t="str">
        <f>IF(OR(ISBLANK(Z15),ISBLANK(AB15)),"N/A",IF(ABS((AB15-Z15)/Z15)&gt;0.25,"&gt; 25%","ok"))</f>
        <v>N/A</v>
      </c>
      <c r="BV15" s="285"/>
      <c r="BW15" s="85" t="str">
        <f>IF(OR(ISBLANK(AB15),ISBLANK(AD15)),"N/A",IF(ABS((AD15-AB15)/AB15)&gt;0.25,"&gt; 25%","ok"))</f>
        <v>N/A</v>
      </c>
      <c r="BX15" s="285"/>
      <c r="BY15" s="85" t="str">
        <f>IF(OR(ISBLANK(AD15),ISBLANK(AF15)),"N/A",IF(ABS((AF15-AD15)/AD15)&gt;0.25,"&gt; 25%","ok"))</f>
        <v>N/A</v>
      </c>
      <c r="BZ15" s="285"/>
      <c r="CA15" s="85" t="str">
        <f>IF(OR(ISBLANK(AF15),ISBLANK(AH15)),"N/A",IF(ABS((AH15-AF15)/AF15)&gt;0.25,"&gt; 25%","ok"))</f>
        <v>N/A</v>
      </c>
      <c r="CB15" s="285"/>
      <c r="CC15" s="85" t="str">
        <f>IF(OR(ISBLANK(AH15),ISBLANK(AJ15)),"N/A",IF(ABS((AJ15-AH15)/AH15)&gt;0.25,"&gt; 25%","ok"))</f>
        <v>N/A</v>
      </c>
      <c r="CD15" s="285"/>
      <c r="CE15" s="85" t="str">
        <f t="shared" si="16"/>
        <v>N/A</v>
      </c>
      <c r="CF15" s="285"/>
      <c r="CG15" s="85" t="str">
        <f>IF(OR(ISBLANK(AL15),ISBLANK(AN15)),"N/A",IF(ABS((AN15-AL15)/AL15)&gt;0.25,"&gt; 25%","ok"))</f>
        <v>N/A</v>
      </c>
      <c r="CH15" s="285"/>
      <c r="CI15" s="85" t="str">
        <f t="shared" si="17"/>
        <v>N/A</v>
      </c>
      <c r="CJ15" s="285"/>
      <c r="CK15" s="85" t="str">
        <f t="shared" si="18"/>
        <v>N/A</v>
      </c>
      <c r="CM15" s="256">
        <v>36</v>
      </c>
      <c r="CN15" s="257" t="s">
        <v>405</v>
      </c>
      <c r="CO15" s="256">
        <v>4134000</v>
      </c>
      <c r="CP15" s="256">
        <v>492000</v>
      </c>
      <c r="CQ15" s="256">
        <v>0</v>
      </c>
      <c r="CR15" s="256">
        <v>492000</v>
      </c>
    </row>
    <row r="16" spans="1:96" s="280" customFormat="1" ht="34.5" customHeight="1">
      <c r="A16" s="273"/>
      <c r="B16" s="259">
        <v>128</v>
      </c>
      <c r="C16" s="291">
        <v>9</v>
      </c>
      <c r="D16" s="292" t="s">
        <v>102</v>
      </c>
      <c r="E16" s="291" t="s">
        <v>372</v>
      </c>
      <c r="F16" s="643"/>
      <c r="G16" s="875"/>
      <c r="H16" s="643"/>
      <c r="I16" s="875"/>
      <c r="J16" s="643"/>
      <c r="K16" s="875"/>
      <c r="L16" s="643"/>
      <c r="M16" s="875"/>
      <c r="N16" s="643"/>
      <c r="O16" s="875"/>
      <c r="P16" s="643"/>
      <c r="Q16" s="875"/>
      <c r="R16" s="643"/>
      <c r="S16" s="875"/>
      <c r="T16" s="643"/>
      <c r="U16" s="875"/>
      <c r="V16" s="643"/>
      <c r="W16" s="875"/>
      <c r="X16" s="643"/>
      <c r="Y16" s="875"/>
      <c r="Z16" s="643"/>
      <c r="AA16" s="875"/>
      <c r="AB16" s="643"/>
      <c r="AC16" s="875"/>
      <c r="AD16" s="643"/>
      <c r="AE16" s="875"/>
      <c r="AF16" s="643"/>
      <c r="AG16" s="875"/>
      <c r="AH16" s="643"/>
      <c r="AI16" s="875"/>
      <c r="AJ16" s="643"/>
      <c r="AK16" s="875"/>
      <c r="AL16" s="643"/>
      <c r="AM16" s="875"/>
      <c r="AN16" s="643"/>
      <c r="AO16" s="875"/>
      <c r="AP16" s="643"/>
      <c r="AQ16" s="875"/>
      <c r="AR16" s="643"/>
      <c r="AS16" s="875"/>
      <c r="AU16" s="275"/>
      <c r="AV16" s="294">
        <v>9</v>
      </c>
      <c r="AW16" s="290" t="s">
        <v>102</v>
      </c>
      <c r="AX16" s="88" t="s">
        <v>95</v>
      </c>
      <c r="AY16" s="284" t="str">
        <f t="shared" si="15"/>
        <v>N/A</v>
      </c>
      <c r="AZ16" s="285"/>
      <c r="BA16" s="294" t="s">
        <v>99</v>
      </c>
      <c r="BB16" s="288"/>
      <c r="BC16" s="85" t="str">
        <f>IF(OR(ISBLANK(H16),ISBLANK(J16)),"N/A",IF(ABS((J16-H16)/H16)&gt;0.25,"&gt; 25%","ok"))</f>
        <v>N/A</v>
      </c>
      <c r="BD16" s="285"/>
      <c r="BE16" s="85" t="str">
        <f>IF(OR(ISBLANK(J16),ISBLANK(L16)),"N/A",IF(ABS((L16-J16)/J16)&gt;0.25,"&gt; 25%","ok"))</f>
        <v>N/A</v>
      </c>
      <c r="BF16" s="285"/>
      <c r="BG16" s="102" t="str">
        <f>IF(OR(ISBLANK(L16),ISBLANK(N16)),"N/A",IF(ABS((N16-L16)/L16)&gt;0.25,"&gt; 25%","ok"))</f>
        <v>N/A</v>
      </c>
      <c r="BH16" s="288"/>
      <c r="BI16" s="102" t="str">
        <f>IF(OR(ISBLANK(N16),ISBLANK(P16)),"N/A",IF(ABS((P16-N16)/N16)&gt;0.25,"&gt; 25%","ok"))</f>
        <v>N/A</v>
      </c>
      <c r="BJ16" s="288"/>
      <c r="BK16" s="102" t="str">
        <f>IF(OR(ISBLANK(P16),ISBLANK(R16)),"N/A",IF(ABS((R16-P16)/P16)&gt;0.25,"&gt; 25%","ok"))</f>
        <v>N/A</v>
      </c>
      <c r="BL16" s="288"/>
      <c r="BM16" s="102" t="str">
        <f>IF(OR(ISBLANK(R16),ISBLANK(T16)),"N/A",IF(ABS((T16-R16)/R16)&gt;0.25,"&gt; 25%","ok"))</f>
        <v>N/A</v>
      </c>
      <c r="BN16" s="288"/>
      <c r="BO16" s="102" t="str">
        <f>IF(OR(ISBLANK(T16),ISBLANK(V16)),"N/A",IF(ABS((V16-T16)/T16)&gt;0.25,"&gt; 25%","ok"))</f>
        <v>N/A</v>
      </c>
      <c r="BP16" s="288"/>
      <c r="BQ16" s="85" t="str">
        <f>IF(OR(ISBLANK(V16),ISBLANK(X16)),"N/A",IF(ABS((X16-V16)/V16)&gt;0.25,"&gt; 25%","ok"))</f>
        <v>N/A</v>
      </c>
      <c r="BR16" s="285"/>
      <c r="BS16" s="85" t="str">
        <f>IF(OR(ISBLANK(X16),ISBLANK(Z16)),"N/A",IF(ABS((Z16-X16)/X16)&gt;0.25,"&gt; 25%","ok"))</f>
        <v>N/A</v>
      </c>
      <c r="BT16" s="285"/>
      <c r="BU16" s="85" t="str">
        <f>IF(OR(ISBLANK(Z16),ISBLANK(AB16)),"N/A",IF(ABS((AB16-Z16)/Z16)&gt;0.25,"&gt; 25%","ok"))</f>
        <v>N/A</v>
      </c>
      <c r="BV16" s="285"/>
      <c r="BW16" s="85" t="str">
        <f>IF(OR(ISBLANK(AB16),ISBLANK(AD16)),"N/A",IF(ABS((AD16-AB16)/AB16)&gt;0.25,"&gt; 25%","ok"))</f>
        <v>N/A</v>
      </c>
      <c r="BX16" s="285"/>
      <c r="BY16" s="85" t="str">
        <f>IF(OR(ISBLANK(AD16),ISBLANK(AF16)),"N/A",IF(ABS((AF16-AD16)/AD16)&gt;0.25,"&gt; 25%","ok"))</f>
        <v>N/A</v>
      </c>
      <c r="BZ16" s="285"/>
      <c r="CA16" s="85" t="str">
        <f>IF(OR(ISBLANK(AF16),ISBLANK(AH16)),"N/A",IF(ABS((AH16-AF16)/AF16)&gt;0.25,"&gt; 25%","ok"))</f>
        <v>N/A</v>
      </c>
      <c r="CB16" s="285"/>
      <c r="CC16" s="85" t="str">
        <f>IF(OR(ISBLANK(AH16),ISBLANK(AJ16)),"N/A",IF(ABS((AJ16-AH16)/AH16)&gt;0.25,"&gt; 25%","ok"))</f>
        <v>N/A</v>
      </c>
      <c r="CD16" s="285"/>
      <c r="CE16" s="85" t="str">
        <f t="shared" si="16"/>
        <v>N/A</v>
      </c>
      <c r="CF16" s="285"/>
      <c r="CG16" s="85" t="str">
        <f>IF(OR(ISBLANK(AL16),ISBLANK(AN16)),"N/A",IF(ABS((AN16-AL16)/AL16)&gt;0.25,"&gt; 25%","ok"))</f>
        <v>N/A</v>
      </c>
      <c r="CH16" s="285"/>
      <c r="CI16" s="85" t="str">
        <f t="shared" si="17"/>
        <v>N/A</v>
      </c>
      <c r="CJ16" s="285"/>
      <c r="CK16" s="85" t="str">
        <f t="shared" si="18"/>
        <v>N/A</v>
      </c>
      <c r="CM16" s="256">
        <v>40</v>
      </c>
      <c r="CN16" s="257" t="s">
        <v>406</v>
      </c>
      <c r="CO16" s="256">
        <v>93110</v>
      </c>
      <c r="CP16" s="256">
        <v>55000</v>
      </c>
      <c r="CQ16" s="256">
        <v>22700</v>
      </c>
      <c r="CR16" s="256">
        <v>77700</v>
      </c>
    </row>
    <row r="17" spans="1:96" s="280" customFormat="1" ht="30" customHeight="1">
      <c r="A17" s="258"/>
      <c r="B17" s="259"/>
      <c r="C17" s="295"/>
      <c r="D17" s="296"/>
      <c r="E17" s="295"/>
      <c r="F17" s="263"/>
      <c r="G17" s="295"/>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4"/>
      <c r="AV17" s="103"/>
      <c r="AW17" s="297"/>
      <c r="AX17" s="86"/>
      <c r="AY17" s="103"/>
      <c r="AZ17" s="298"/>
      <c r="BA17" s="103"/>
      <c r="BB17" s="298"/>
      <c r="BC17" s="86"/>
      <c r="BD17" s="298"/>
      <c r="BE17" s="86"/>
      <c r="BF17" s="298"/>
      <c r="BG17" s="86"/>
      <c r="BH17" s="298"/>
      <c r="BI17" s="86"/>
      <c r="BJ17" s="298"/>
      <c r="BK17" s="86"/>
      <c r="BL17" s="298"/>
      <c r="BM17" s="86"/>
      <c r="BN17" s="298"/>
      <c r="BO17" s="86"/>
      <c r="BP17" s="298"/>
      <c r="BQ17" s="86"/>
      <c r="BR17" s="298"/>
      <c r="BS17" s="86"/>
      <c r="BT17" s="298"/>
      <c r="BU17" s="86"/>
      <c r="BV17" s="298"/>
      <c r="BW17" s="86"/>
      <c r="BX17" s="298"/>
      <c r="BY17" s="86"/>
      <c r="BZ17" s="298"/>
      <c r="CA17" s="86"/>
      <c r="CB17" s="298"/>
      <c r="CC17" s="86"/>
      <c r="CD17" s="298"/>
      <c r="CE17" s="86"/>
      <c r="CF17" s="298"/>
      <c r="CG17" s="86"/>
      <c r="CH17" s="298"/>
      <c r="CI17" s="86"/>
      <c r="CJ17" s="298"/>
      <c r="CK17" s="86"/>
      <c r="CM17" s="256">
        <v>31</v>
      </c>
      <c r="CN17" s="257" t="s">
        <v>407</v>
      </c>
      <c r="CO17" s="256">
        <v>38710</v>
      </c>
      <c r="CP17" s="256">
        <v>8115</v>
      </c>
      <c r="CQ17" s="256">
        <v>25380</v>
      </c>
      <c r="CR17" s="256">
        <v>34680</v>
      </c>
    </row>
    <row r="18" spans="1:96" s="263" customFormat="1" ht="6.75" customHeight="1">
      <c r="A18" s="198"/>
      <c r="B18" s="259"/>
      <c r="C18" s="211"/>
      <c r="D18" s="236"/>
      <c r="E18" s="299"/>
      <c r="F18" s="211"/>
      <c r="G18" s="239"/>
      <c r="H18" s="240"/>
      <c r="I18" s="241"/>
      <c r="J18" s="240"/>
      <c r="K18" s="241"/>
      <c r="L18" s="240"/>
      <c r="M18" s="241"/>
      <c r="N18" s="240"/>
      <c r="O18" s="241"/>
      <c r="P18" s="240"/>
      <c r="Q18" s="239"/>
      <c r="R18" s="240"/>
      <c r="S18" s="239"/>
      <c r="T18" s="240"/>
      <c r="U18" s="239"/>
      <c r="V18" s="240"/>
      <c r="W18" s="239"/>
      <c r="X18" s="240"/>
      <c r="Y18" s="239"/>
      <c r="Z18" s="240"/>
      <c r="AA18" s="239"/>
      <c r="AB18" s="240"/>
      <c r="AC18" s="241"/>
      <c r="AD18" s="240"/>
      <c r="AE18" s="239"/>
      <c r="AF18" s="240"/>
      <c r="AG18" s="239"/>
      <c r="AH18" s="240"/>
      <c r="AI18" s="239"/>
      <c r="AJ18" s="239"/>
      <c r="AK18" s="239"/>
      <c r="AL18" s="239"/>
      <c r="AM18" s="239"/>
      <c r="AN18" s="240"/>
      <c r="AO18" s="238"/>
      <c r="AP18" s="211"/>
      <c r="AQ18" s="211"/>
      <c r="AR18" s="211"/>
      <c r="AS18" s="211"/>
      <c r="AT18" s="211"/>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M18" s="256">
        <v>44</v>
      </c>
      <c r="CN18" s="257" t="s">
        <v>408</v>
      </c>
      <c r="CO18" s="256">
        <v>17930</v>
      </c>
      <c r="CP18" s="256">
        <v>20</v>
      </c>
      <c r="CQ18" s="256">
        <v>0</v>
      </c>
      <c r="CR18" s="256">
        <v>20</v>
      </c>
    </row>
    <row r="19" spans="3:96" ht="10.5" customHeight="1">
      <c r="C19" s="300" t="s">
        <v>363</v>
      </c>
      <c r="D19" s="301"/>
      <c r="E19" s="302"/>
      <c r="F19" s="300"/>
      <c r="G19" s="243"/>
      <c r="H19" s="303"/>
      <c r="I19" s="304"/>
      <c r="J19" s="303"/>
      <c r="K19" s="304"/>
      <c r="L19" s="303"/>
      <c r="M19" s="304"/>
      <c r="N19" s="303"/>
      <c r="O19" s="304"/>
      <c r="P19" s="303"/>
      <c r="Q19" s="243"/>
      <c r="R19" s="303"/>
      <c r="S19" s="243"/>
      <c r="T19" s="303"/>
      <c r="U19" s="243"/>
      <c r="V19" s="303"/>
      <c r="W19" s="243"/>
      <c r="X19" s="303"/>
      <c r="Y19" s="243"/>
      <c r="Z19" s="303"/>
      <c r="AA19" s="243"/>
      <c r="AB19" s="303"/>
      <c r="AC19" s="304"/>
      <c r="AD19" s="303"/>
      <c r="AE19" s="243"/>
      <c r="AF19" s="303"/>
      <c r="AG19" s="243"/>
      <c r="AH19" s="303"/>
      <c r="AI19" s="243"/>
      <c r="AJ19" s="243"/>
      <c r="AK19" s="243"/>
      <c r="AL19" s="243"/>
      <c r="AM19" s="243"/>
      <c r="AN19" s="303"/>
      <c r="AO19" s="219"/>
      <c r="AP19" s="220"/>
      <c r="AQ19" s="220"/>
      <c r="AR19" s="220"/>
      <c r="AS19" s="220"/>
      <c r="AT19" s="220"/>
      <c r="AV19" s="247" t="s">
        <v>90</v>
      </c>
      <c r="CM19" s="256">
        <v>48</v>
      </c>
      <c r="CN19" s="257" t="s">
        <v>409</v>
      </c>
      <c r="CO19" s="256">
        <v>63.1</v>
      </c>
      <c r="CP19" s="256">
        <v>4</v>
      </c>
      <c r="CQ19" s="256">
        <v>112</v>
      </c>
      <c r="CR19" s="256">
        <v>116</v>
      </c>
    </row>
    <row r="20" spans="3:96" ht="15.75" customHeight="1">
      <c r="C20" s="305" t="s">
        <v>169</v>
      </c>
      <c r="D20" s="739" t="s">
        <v>329</v>
      </c>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V20" s="252" t="s">
        <v>359</v>
      </c>
      <c r="AW20" s="252" t="s">
        <v>361</v>
      </c>
      <c r="AX20" s="253" t="s">
        <v>364</v>
      </c>
      <c r="AY20" s="252" t="s">
        <v>388</v>
      </c>
      <c r="AZ20" s="254"/>
      <c r="BA20" s="253">
        <v>1990</v>
      </c>
      <c r="BB20" s="254"/>
      <c r="BC20" s="253">
        <v>1995</v>
      </c>
      <c r="BD20" s="254"/>
      <c r="BE20" s="253">
        <v>1996</v>
      </c>
      <c r="BF20" s="254"/>
      <c r="BG20" s="253">
        <v>1997</v>
      </c>
      <c r="BH20" s="254"/>
      <c r="BI20" s="253">
        <v>1998</v>
      </c>
      <c r="BJ20" s="254"/>
      <c r="BK20" s="253">
        <v>1999</v>
      </c>
      <c r="BL20" s="254"/>
      <c r="BM20" s="253">
        <v>2000</v>
      </c>
      <c r="BN20" s="254"/>
      <c r="BO20" s="253">
        <v>2001</v>
      </c>
      <c r="BP20" s="254"/>
      <c r="BQ20" s="253">
        <v>2002</v>
      </c>
      <c r="BR20" s="254"/>
      <c r="BS20" s="253">
        <v>2003</v>
      </c>
      <c r="BT20" s="254"/>
      <c r="BU20" s="253">
        <v>2004</v>
      </c>
      <c r="BV20" s="254"/>
      <c r="BW20" s="253">
        <v>2005</v>
      </c>
      <c r="BX20" s="254"/>
      <c r="BY20" s="253">
        <v>2006</v>
      </c>
      <c r="BZ20" s="254"/>
      <c r="CA20" s="253">
        <v>2007</v>
      </c>
      <c r="CB20" s="254"/>
      <c r="CC20" s="253">
        <v>2008</v>
      </c>
      <c r="CD20" s="254"/>
      <c r="CE20" s="253">
        <v>2009</v>
      </c>
      <c r="CF20" s="254"/>
      <c r="CG20" s="253">
        <v>2010</v>
      </c>
      <c r="CH20" s="254"/>
      <c r="CI20" s="253">
        <v>2011</v>
      </c>
      <c r="CJ20" s="254"/>
      <c r="CK20" s="253">
        <v>2012</v>
      </c>
      <c r="CM20" s="256">
        <v>50</v>
      </c>
      <c r="CN20" s="257" t="s">
        <v>410</v>
      </c>
      <c r="CO20" s="256">
        <v>383900</v>
      </c>
      <c r="CP20" s="256">
        <v>105000</v>
      </c>
      <c r="CQ20" s="256">
        <v>1122032</v>
      </c>
      <c r="CR20" s="256">
        <v>1227000</v>
      </c>
    </row>
    <row r="21" spans="3:96" ht="15" customHeight="1">
      <c r="C21" s="305" t="s">
        <v>169</v>
      </c>
      <c r="D21" s="739" t="s">
        <v>300</v>
      </c>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V21" s="105">
        <v>3</v>
      </c>
      <c r="AW21" s="271" t="s">
        <v>23</v>
      </c>
      <c r="AX21" s="87" t="s">
        <v>372</v>
      </c>
      <c r="AY21" s="87">
        <f>F10</f>
        <v>0</v>
      </c>
      <c r="AZ21" s="87"/>
      <c r="BA21" s="87">
        <f>H10</f>
        <v>0</v>
      </c>
      <c r="BB21" s="87"/>
      <c r="BC21" s="87">
        <f>J10</f>
        <v>0</v>
      </c>
      <c r="BD21" s="87"/>
      <c r="BE21" s="87">
        <f>L10</f>
        <v>0</v>
      </c>
      <c r="BF21" s="87"/>
      <c r="BG21" s="87">
        <f>N10</f>
        <v>0</v>
      </c>
      <c r="BH21" s="87"/>
      <c r="BI21" s="87">
        <f>P10</f>
        <v>0</v>
      </c>
      <c r="BJ21" s="87"/>
      <c r="BK21" s="87">
        <f>R10</f>
        <v>0</v>
      </c>
      <c r="BL21" s="87"/>
      <c r="BM21" s="87">
        <f>T10</f>
        <v>0</v>
      </c>
      <c r="BN21" s="87"/>
      <c r="BO21" s="87">
        <f>V10</f>
        <v>0</v>
      </c>
      <c r="BP21" s="87"/>
      <c r="BQ21" s="87">
        <f>X10</f>
        <v>0</v>
      </c>
      <c r="BR21" s="87"/>
      <c r="BS21" s="87">
        <f>Z10</f>
        <v>0</v>
      </c>
      <c r="BT21" s="87"/>
      <c r="BU21" s="87">
        <f>AB10</f>
        <v>0</v>
      </c>
      <c r="BV21" s="87"/>
      <c r="BW21" s="87">
        <f>AD10</f>
        <v>0</v>
      </c>
      <c r="BX21" s="87"/>
      <c r="BY21" s="87">
        <f>AF10</f>
        <v>0</v>
      </c>
      <c r="BZ21" s="87"/>
      <c r="CA21" s="87">
        <f>AH10</f>
        <v>0</v>
      </c>
      <c r="CB21" s="87"/>
      <c r="CC21" s="87">
        <f>AJ10</f>
        <v>0</v>
      </c>
      <c r="CD21" s="87"/>
      <c r="CE21" s="87">
        <f>AL10</f>
        <v>0</v>
      </c>
      <c r="CF21" s="272"/>
      <c r="CG21" s="87">
        <f>AN10</f>
        <v>0</v>
      </c>
      <c r="CH21" s="87"/>
      <c r="CI21" s="87">
        <f>AP10</f>
        <v>0</v>
      </c>
      <c r="CJ21" s="87"/>
      <c r="CK21" s="87">
        <f>AR10</f>
        <v>0</v>
      </c>
      <c r="CM21" s="256">
        <v>52</v>
      </c>
      <c r="CN21" s="257" t="s">
        <v>411</v>
      </c>
      <c r="CO21" s="256">
        <v>611.5</v>
      </c>
      <c r="CP21" s="256">
        <v>80</v>
      </c>
      <c r="CQ21" s="256">
        <v>0</v>
      </c>
      <c r="CR21" s="256">
        <v>80</v>
      </c>
    </row>
    <row r="22" spans="1:99" ht="25.5" customHeight="1">
      <c r="A22" s="307"/>
      <c r="C22" s="305" t="s">
        <v>169</v>
      </c>
      <c r="D22" s="735" t="s">
        <v>170</v>
      </c>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309"/>
      <c r="AV22" s="310">
        <v>10</v>
      </c>
      <c r="AW22" s="311" t="s">
        <v>44</v>
      </c>
      <c r="AX22" s="87" t="s">
        <v>372</v>
      </c>
      <c r="AY22" s="87">
        <f>(F8-F9)</f>
        <v>0</v>
      </c>
      <c r="AZ22" s="87"/>
      <c r="BA22" s="87">
        <f>(H8-H9)</f>
        <v>0</v>
      </c>
      <c r="BB22" s="87"/>
      <c r="BC22" s="87">
        <f>(J8-J9)</f>
        <v>0</v>
      </c>
      <c r="BD22" s="87"/>
      <c r="BE22" s="87">
        <f>(L8-L9)</f>
        <v>0</v>
      </c>
      <c r="BF22" s="87"/>
      <c r="BG22" s="87">
        <f>(N8-N9)</f>
        <v>0</v>
      </c>
      <c r="BH22" s="87"/>
      <c r="BI22" s="87">
        <f>(P8-P9)</f>
        <v>0</v>
      </c>
      <c r="BJ22" s="87"/>
      <c r="BK22" s="87">
        <f>(R8-R9)</f>
        <v>0</v>
      </c>
      <c r="BL22" s="87"/>
      <c r="BM22" s="87">
        <f>(T8-T9)</f>
        <v>0</v>
      </c>
      <c r="BN22" s="87"/>
      <c r="BO22" s="87">
        <f>(V8-V9)</f>
        <v>0</v>
      </c>
      <c r="BP22" s="87"/>
      <c r="BQ22" s="87">
        <f>(X8-X9)</f>
        <v>0</v>
      </c>
      <c r="BR22" s="87"/>
      <c r="BS22" s="87">
        <f>(Z8-Z9)</f>
        <v>0</v>
      </c>
      <c r="BT22" s="87"/>
      <c r="BU22" s="87">
        <f>(AB8-AB9)</f>
        <v>0</v>
      </c>
      <c r="BV22" s="87"/>
      <c r="BW22" s="87">
        <f>(AD8-AD9)</f>
        <v>0</v>
      </c>
      <c r="BX22" s="87"/>
      <c r="BY22" s="87">
        <f>(AF8-AF9)</f>
        <v>0</v>
      </c>
      <c r="BZ22" s="87"/>
      <c r="CA22" s="87">
        <f>(AH8-AH9)</f>
        <v>0</v>
      </c>
      <c r="CB22" s="87"/>
      <c r="CC22" s="87">
        <f>(AJ8-AJ9)</f>
        <v>0</v>
      </c>
      <c r="CD22" s="87"/>
      <c r="CE22" s="87">
        <f>(AL8-AL9)</f>
        <v>0</v>
      </c>
      <c r="CF22" s="272"/>
      <c r="CG22" s="87">
        <f>(AN8-AN9)</f>
        <v>0</v>
      </c>
      <c r="CH22" s="87"/>
      <c r="CI22" s="87">
        <f>(AP8-AP9)</f>
        <v>0</v>
      </c>
      <c r="CJ22" s="87"/>
      <c r="CK22" s="87">
        <f>(AR8-AR9)</f>
        <v>0</v>
      </c>
      <c r="CL22" s="312"/>
      <c r="CM22" s="256">
        <v>112</v>
      </c>
      <c r="CN22" s="257" t="s">
        <v>412</v>
      </c>
      <c r="CO22" s="256">
        <v>128300</v>
      </c>
      <c r="CP22" s="256">
        <v>37200</v>
      </c>
      <c r="CQ22" s="256">
        <v>20800</v>
      </c>
      <c r="CR22" s="256">
        <v>58000</v>
      </c>
      <c r="CS22" s="312"/>
      <c r="CT22" s="312"/>
      <c r="CU22" s="312"/>
    </row>
    <row r="23" spans="1:99" ht="25.5" customHeight="1">
      <c r="A23" s="307"/>
      <c r="B23" s="307"/>
      <c r="C23" s="305" t="s">
        <v>169</v>
      </c>
      <c r="D23" s="739" t="s">
        <v>131</v>
      </c>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313"/>
      <c r="AV23" s="314" t="s">
        <v>208</v>
      </c>
      <c r="AW23" s="311" t="s">
        <v>272</v>
      </c>
      <c r="AX23" s="87"/>
      <c r="AY23" s="87" t="str">
        <f>IF(OR(ISBLANK(F8),ISBLANK(F9),ISBLANK(F10)),"N/A",IF((AY21=AY22),"ok","&lt;&gt;"))</f>
        <v>N/A</v>
      </c>
      <c r="AZ23" s="87"/>
      <c r="BA23" s="87" t="str">
        <f>IF(OR(ISBLANK(H8),ISBLANK(H9),ISBLANK(H10)),"N/A",IF((BA21=BA22),"ok","&lt;&gt;"))</f>
        <v>N/A</v>
      </c>
      <c r="BB23" s="87"/>
      <c r="BC23" s="87" t="str">
        <f>IF(OR(ISBLANK(J8),ISBLANK(J9),ISBLANK(J10)),"N/A",IF((BC21=BC22),"ok","&lt;&gt;"))</f>
        <v>N/A</v>
      </c>
      <c r="BD23" s="87"/>
      <c r="BE23" s="87" t="str">
        <f>IF(OR(ISBLANK(L8),ISBLANK(L9),ISBLANK(L10)),"N/A",IF((BE21=BE22),"ok","&lt;&gt;"))</f>
        <v>N/A</v>
      </c>
      <c r="BF23" s="87"/>
      <c r="BG23" s="87" t="str">
        <f>IF(OR(ISBLANK(N8),ISBLANK(N9),ISBLANK(N10)),"N/A",IF((BG21=BG22),"ok","&lt;&gt;"))</f>
        <v>N/A</v>
      </c>
      <c r="BH23" s="87"/>
      <c r="BI23" s="87" t="str">
        <f>IF(OR(ISBLANK(P8),ISBLANK(P9),ISBLANK(P10)),"N/A",IF((BI21=BI22),"ok","&lt;&gt;"))</f>
        <v>N/A</v>
      </c>
      <c r="BJ23" s="87"/>
      <c r="BK23" s="87" t="str">
        <f>IF(OR(ISBLANK(R8),ISBLANK(R9),ISBLANK(R10)),"N/A",IF((BK21=BK22),"ok","&lt;&gt;"))</f>
        <v>N/A</v>
      </c>
      <c r="BL23" s="87"/>
      <c r="BM23" s="87" t="str">
        <f>IF(OR(ISBLANK(T8),ISBLANK(T9),ISBLANK(T10)),"N/A",IF((BM21=BM22),"ok","&lt;&gt;"))</f>
        <v>N/A</v>
      </c>
      <c r="BN23" s="87"/>
      <c r="BO23" s="87" t="str">
        <f>IF(OR(ISBLANK(V8),ISBLANK(V9),ISBLANK(V10)),"N/A",IF((BO21=BO22),"ok","&lt;&gt;"))</f>
        <v>N/A</v>
      </c>
      <c r="BP23" s="87"/>
      <c r="BQ23" s="87" t="str">
        <f>IF(OR(ISBLANK(X8),ISBLANK(X9),ISBLANK(X10)),"N/A",IF((BQ21=BQ22),"ok","&lt;&gt;"))</f>
        <v>N/A</v>
      </c>
      <c r="BR23" s="87"/>
      <c r="BS23" s="87" t="str">
        <f>IF(OR(ISBLANK(Z8),ISBLANK(Z9),ISBLANK(Z10)),"N/A",IF((BS21=BS22),"ok","&lt;&gt;"))</f>
        <v>N/A</v>
      </c>
      <c r="BT23" s="87"/>
      <c r="BU23" s="87" t="str">
        <f>IF(OR(ISBLANK(AB8),ISBLANK(AB9),ISBLANK(AB10)),"N/A",IF((BU21=BU22),"ok","&lt;&gt;"))</f>
        <v>N/A</v>
      </c>
      <c r="BV23" s="87"/>
      <c r="BW23" s="87" t="str">
        <f>IF(OR(ISBLANK(AD8),ISBLANK(AD9),ISBLANK(AD10)),"N/A",IF((BW21=BW22),"ok","&lt;&gt;"))</f>
        <v>N/A</v>
      </c>
      <c r="BX23" s="87"/>
      <c r="BY23" s="87" t="str">
        <f>IF(OR(ISBLANK(AF8),ISBLANK(AF9),ISBLANK(AF10)),"N/A",IF((BY21=BY22),"ok","&lt;&gt;"))</f>
        <v>N/A</v>
      </c>
      <c r="BZ23" s="87"/>
      <c r="CA23" s="87" t="str">
        <f>IF(OR(ISBLANK(AH8),ISBLANK(AH9),ISBLANK(AH10)),"N/A",IF((CA21=CA22),"ok","&lt;&gt;"))</f>
        <v>N/A</v>
      </c>
      <c r="CB23" s="87"/>
      <c r="CC23" s="87" t="str">
        <f>IF(OR(ISBLANK(AJ8),ISBLANK(AJ9),ISBLANK(AJ10)),"N/A",IF((CC21=CC22),"ok","&lt;&gt;"))</f>
        <v>N/A</v>
      </c>
      <c r="CD23" s="87"/>
      <c r="CE23" s="87" t="str">
        <f>IF(OR(ISBLANK(AL8),ISBLANK(AL9),ISBLANK(AL10)),"N/A",IF((CE21=CE22),"ok","&lt;&gt;"))</f>
        <v>N/A</v>
      </c>
      <c r="CF23" s="272"/>
      <c r="CG23" s="87" t="str">
        <f>IF(OR(ISBLANK(AN8),ISBLANK(AN9),ISBLANK(AN10)),"N/A",IF((CG21=CG22),"ok","&lt;&gt;"))</f>
        <v>N/A</v>
      </c>
      <c r="CH23" s="87"/>
      <c r="CI23" s="87" t="str">
        <f>IF(OR(ISBLANK(AP8),ISBLANK(AP9),ISBLANK(AP10)),"N/A",IF((CI21=CI22),"ok","&lt;&gt;"))</f>
        <v>N/A</v>
      </c>
      <c r="CJ23" s="87"/>
      <c r="CK23" s="87" t="str">
        <f>IF(OR(ISBLANK(AR8),ISBLANK(AR9),ISBLANK(AR10)),"N/A",IF((CK21=CK22),"ok","&lt;&gt;"))</f>
        <v>N/A</v>
      </c>
      <c r="CL23" s="312"/>
      <c r="CM23" s="256">
        <v>56</v>
      </c>
      <c r="CN23" s="257" t="s">
        <v>413</v>
      </c>
      <c r="CO23" s="256">
        <v>25860</v>
      </c>
      <c r="CP23" s="256">
        <v>12000</v>
      </c>
      <c r="CQ23" s="256">
        <v>6300</v>
      </c>
      <c r="CR23" s="256">
        <v>18300</v>
      </c>
      <c r="CS23" s="312"/>
      <c r="CT23" s="312"/>
      <c r="CU23" s="312"/>
    </row>
    <row r="24" spans="1:99" ht="22.5" customHeight="1">
      <c r="A24" s="307"/>
      <c r="B24" s="307"/>
      <c r="C24" s="305" t="s">
        <v>169</v>
      </c>
      <c r="D24" s="735" t="s">
        <v>51</v>
      </c>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309"/>
      <c r="AV24" s="105">
        <v>5</v>
      </c>
      <c r="AW24" s="281" t="s">
        <v>22</v>
      </c>
      <c r="AX24" s="87" t="s">
        <v>372</v>
      </c>
      <c r="AY24" s="87">
        <f>F12</f>
        <v>0</v>
      </c>
      <c r="AZ24" s="87"/>
      <c r="BA24" s="87">
        <f>H12</f>
        <v>0</v>
      </c>
      <c r="BB24" s="87"/>
      <c r="BC24" s="87">
        <f>J12</f>
        <v>0</v>
      </c>
      <c r="BD24" s="87"/>
      <c r="BE24" s="87">
        <f>L12</f>
        <v>0</v>
      </c>
      <c r="BF24" s="87"/>
      <c r="BG24" s="87">
        <f>N12</f>
        <v>0</v>
      </c>
      <c r="BH24" s="87"/>
      <c r="BI24" s="87">
        <f>P12</f>
        <v>0</v>
      </c>
      <c r="BJ24" s="87"/>
      <c r="BK24" s="87">
        <f>R12</f>
        <v>0</v>
      </c>
      <c r="BL24" s="87"/>
      <c r="BM24" s="87">
        <f>T12</f>
        <v>0</v>
      </c>
      <c r="BN24" s="87"/>
      <c r="BO24" s="87">
        <f>V12</f>
        <v>0</v>
      </c>
      <c r="BP24" s="87"/>
      <c r="BQ24" s="87">
        <f>X12</f>
        <v>0</v>
      </c>
      <c r="BR24" s="87"/>
      <c r="BS24" s="87">
        <f>Z12</f>
        <v>0</v>
      </c>
      <c r="BT24" s="87"/>
      <c r="BU24" s="87">
        <f>AB12</f>
        <v>0</v>
      </c>
      <c r="BV24" s="87"/>
      <c r="BW24" s="87">
        <f>AD12</f>
        <v>0</v>
      </c>
      <c r="BX24" s="87"/>
      <c r="BY24" s="87">
        <f>AF12</f>
        <v>0</v>
      </c>
      <c r="BZ24" s="87"/>
      <c r="CA24" s="87">
        <f>AH12</f>
        <v>0</v>
      </c>
      <c r="CB24" s="87"/>
      <c r="CC24" s="87">
        <f>AJ12</f>
        <v>0</v>
      </c>
      <c r="CD24" s="87"/>
      <c r="CE24" s="87">
        <f>AL12</f>
        <v>0</v>
      </c>
      <c r="CF24" s="315"/>
      <c r="CG24" s="87">
        <f>AN12</f>
        <v>0</v>
      </c>
      <c r="CH24" s="87"/>
      <c r="CI24" s="87">
        <f>AP12</f>
        <v>0</v>
      </c>
      <c r="CJ24" s="87"/>
      <c r="CK24" s="87">
        <f>AR12</f>
        <v>0</v>
      </c>
      <c r="CL24" s="312"/>
      <c r="CM24" s="256">
        <v>58</v>
      </c>
      <c r="CN24" s="257" t="s">
        <v>414</v>
      </c>
      <c r="CO24" s="256"/>
      <c r="CP24" s="256"/>
      <c r="CQ24" s="256"/>
      <c r="CR24" s="256"/>
      <c r="CS24" s="312"/>
      <c r="CT24" s="312"/>
      <c r="CU24" s="312"/>
    </row>
    <row r="25" spans="1:99" ht="19.5" customHeight="1">
      <c r="A25" s="307"/>
      <c r="B25" s="307"/>
      <c r="C25" s="305"/>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09"/>
      <c r="AV25" s="310">
        <v>11</v>
      </c>
      <c r="AW25" s="311" t="s">
        <v>45</v>
      </c>
      <c r="AX25" s="87" t="s">
        <v>372</v>
      </c>
      <c r="AY25" s="87">
        <f>F10+F11</f>
        <v>0</v>
      </c>
      <c r="AZ25" s="87"/>
      <c r="BA25" s="87">
        <f>H10+H11</f>
        <v>0</v>
      </c>
      <c r="BB25" s="87"/>
      <c r="BC25" s="87">
        <f>J10+J11</f>
        <v>0</v>
      </c>
      <c r="BD25" s="87"/>
      <c r="BE25" s="87">
        <f>L10+L11</f>
        <v>0</v>
      </c>
      <c r="BF25" s="87"/>
      <c r="BG25" s="87">
        <f>N10+N11</f>
        <v>0</v>
      </c>
      <c r="BH25" s="87"/>
      <c r="BI25" s="87">
        <f>P10+P11</f>
        <v>0</v>
      </c>
      <c r="BJ25" s="88"/>
      <c r="BK25" s="87">
        <f>R10+R11</f>
        <v>0</v>
      </c>
      <c r="BL25" s="87"/>
      <c r="BM25" s="87">
        <f>T10+T11</f>
        <v>0</v>
      </c>
      <c r="BN25" s="87"/>
      <c r="BO25" s="87">
        <f>V10+V11</f>
        <v>0</v>
      </c>
      <c r="BP25" s="87"/>
      <c r="BQ25" s="87">
        <f>X10+X11</f>
        <v>0</v>
      </c>
      <c r="BR25" s="87"/>
      <c r="BS25" s="87">
        <f>Z10+Z11</f>
        <v>0</v>
      </c>
      <c r="BT25" s="87"/>
      <c r="BU25" s="87">
        <f>AB10+AB11</f>
        <v>0</v>
      </c>
      <c r="BV25" s="87"/>
      <c r="BW25" s="87">
        <f>AD10+AD11</f>
        <v>0</v>
      </c>
      <c r="BX25" s="87"/>
      <c r="BY25" s="87">
        <f>AF10+AF11</f>
        <v>0</v>
      </c>
      <c r="BZ25" s="87"/>
      <c r="CA25" s="87">
        <f>AH10+AH11</f>
        <v>0</v>
      </c>
      <c r="CB25" s="87"/>
      <c r="CC25" s="87">
        <f>AJ10+AJ11</f>
        <v>0</v>
      </c>
      <c r="CD25" s="87"/>
      <c r="CE25" s="87">
        <f>AL10+AL11</f>
        <v>0</v>
      </c>
      <c r="CF25" s="87"/>
      <c r="CG25" s="87">
        <f>AN10+AN11</f>
        <v>0</v>
      </c>
      <c r="CH25" s="87"/>
      <c r="CI25" s="87">
        <f>AP10+AP11</f>
        <v>0</v>
      </c>
      <c r="CJ25" s="87"/>
      <c r="CK25" s="87">
        <f>AR10+AR11</f>
        <v>0</v>
      </c>
      <c r="CL25" s="312"/>
      <c r="CM25" s="256">
        <v>84</v>
      </c>
      <c r="CN25" s="257" t="s">
        <v>415</v>
      </c>
      <c r="CO25" s="256">
        <v>39160</v>
      </c>
      <c r="CP25" s="256">
        <v>16000</v>
      </c>
      <c r="CQ25" s="256">
        <v>2555</v>
      </c>
      <c r="CR25" s="256">
        <v>18550</v>
      </c>
      <c r="CS25" s="312"/>
      <c r="CT25" s="312"/>
      <c r="CU25" s="312"/>
    </row>
    <row r="26" spans="1:99" ht="18.75" customHeight="1">
      <c r="A26" s="307"/>
      <c r="B26" s="307"/>
      <c r="F26" s="317"/>
      <c r="G26" s="317"/>
      <c r="H26" s="318"/>
      <c r="I26" s="319"/>
      <c r="J26" s="319"/>
      <c r="K26" s="319"/>
      <c r="L26" s="319"/>
      <c r="M26" s="319"/>
      <c r="N26" s="319"/>
      <c r="O26" s="319"/>
      <c r="P26" s="319"/>
      <c r="Q26" s="319"/>
      <c r="R26" s="319"/>
      <c r="S26" s="319"/>
      <c r="T26" s="319"/>
      <c r="U26" s="318"/>
      <c r="V26" s="740" t="str">
        <f>D8&amp;" (W1, 1)"</f>
        <v>Precipitation                               (W1, 1)</v>
      </c>
      <c r="W26" s="741"/>
      <c r="X26" s="741"/>
      <c r="Y26" s="742"/>
      <c r="Z26" s="319"/>
      <c r="AA26" s="319"/>
      <c r="AB26" s="319"/>
      <c r="AC26" s="319"/>
      <c r="AD26" s="740" t="str">
        <f>D9&amp;"
(W1, 2)"</f>
        <v>Actual evapotranspiration
(W1, 2)</v>
      </c>
      <c r="AE26" s="743"/>
      <c r="AF26" s="743"/>
      <c r="AG26" s="743"/>
      <c r="AH26" s="744"/>
      <c r="AI26" s="316"/>
      <c r="AJ26" s="316"/>
      <c r="AK26" s="316"/>
      <c r="AL26" s="316"/>
      <c r="AM26" s="316"/>
      <c r="AN26" s="316"/>
      <c r="AO26" s="316"/>
      <c r="AP26" s="316"/>
      <c r="AQ26" s="316"/>
      <c r="AR26" s="316"/>
      <c r="AS26" s="316"/>
      <c r="AT26" s="316"/>
      <c r="AU26" s="309"/>
      <c r="AV26" s="314" t="s">
        <v>208</v>
      </c>
      <c r="AW26" s="311" t="s">
        <v>273</v>
      </c>
      <c r="AX26" s="87"/>
      <c r="AY26" s="87" t="str">
        <f>IF(OR(ISBLANK(F10),ISBLANK(F11)),"N/A",IF((AY24=AY25),"ok","&lt;&gt;"))</f>
        <v>N/A</v>
      </c>
      <c r="AZ26" s="87"/>
      <c r="BA26" s="87" t="str">
        <f>IF(OR(ISBLANK(H10),ISBLANK(H11)),"N/A",IF((BA24=BA25),"ok","&lt;&gt;"))</f>
        <v>N/A</v>
      </c>
      <c r="BB26" s="87"/>
      <c r="BC26" s="87" t="str">
        <f>IF(OR(ISBLANK(J10),ISBLANK(J11)),"N/A",IF((BC24=BC25),"ok","&lt;&gt;"))</f>
        <v>N/A</v>
      </c>
      <c r="BD26" s="87"/>
      <c r="BE26" s="87" t="str">
        <f>IF(OR(ISBLANK(L10),ISBLANK(L11)),"N/A",IF((BE24=BE25),"ok","&lt;&gt;"))</f>
        <v>N/A</v>
      </c>
      <c r="BF26" s="87"/>
      <c r="BG26" s="87" t="str">
        <f>IF(OR(ISBLANK(N10),ISBLANK(N11)),"N/A",IF((BG24=BG25),"ok","&lt;&gt;"))</f>
        <v>N/A</v>
      </c>
      <c r="BH26" s="87"/>
      <c r="BI26" s="87" t="str">
        <f>IF(OR(ISBLANK(P10),ISBLANK(P11)),"N/A",IF((BI24=BI25),"ok","&lt;&gt;"))</f>
        <v>N/A</v>
      </c>
      <c r="BJ26" s="87"/>
      <c r="BK26" s="87" t="str">
        <f>IF(OR(ISBLANK(R10),ISBLANK(R11)),"N/A",IF((BK24=BK25),"ok","&lt;&gt;"))</f>
        <v>N/A</v>
      </c>
      <c r="BL26" s="87"/>
      <c r="BM26" s="87" t="str">
        <f>IF(OR(ISBLANK(T10),ISBLANK(T11)),"N/A",IF((BM24=BM25),"ok","&lt;&gt;"))</f>
        <v>N/A</v>
      </c>
      <c r="BN26" s="87"/>
      <c r="BO26" s="87" t="str">
        <f>IF(OR(ISBLANK(V10),ISBLANK(V11)),"N/A",IF((BO24=BO25),"ok","&lt;&gt;"))</f>
        <v>N/A</v>
      </c>
      <c r="BP26" s="87"/>
      <c r="BQ26" s="87" t="str">
        <f>IF(OR(ISBLANK(X10),ISBLANK(X11)),"N/A",IF((BQ24=BQ25),"ok","&lt;&gt;"))</f>
        <v>N/A</v>
      </c>
      <c r="BR26" s="87"/>
      <c r="BS26" s="87" t="str">
        <f>IF(OR(ISBLANK(Z10),ISBLANK(Z11)),"N/A",IF((BS24=BS25),"ok","&lt;&gt;"))</f>
        <v>N/A</v>
      </c>
      <c r="BT26" s="87"/>
      <c r="BU26" s="87" t="str">
        <f>IF(OR(ISBLANK(AB10),ISBLANK(AB11)),"N/A",IF((BU24=BU25),"ok","&lt;&gt;"))</f>
        <v>N/A</v>
      </c>
      <c r="BV26" s="87"/>
      <c r="BW26" s="87" t="str">
        <f>IF(OR(ISBLANK(AD10),ISBLANK(AD11)),"N/A",IF((BW24=BW25),"ok","&lt;&gt;"))</f>
        <v>N/A</v>
      </c>
      <c r="BX26" s="87"/>
      <c r="BY26" s="87" t="str">
        <f>IF(OR(ISBLANK(AF10),ISBLANK(AF11)),"N/A",IF((BY24=BY25),"ok","&lt;&gt;"))</f>
        <v>N/A</v>
      </c>
      <c r="BZ26" s="87"/>
      <c r="CA26" s="87" t="str">
        <f>IF(OR(ISBLANK(AH10),ISBLANK(AH11)),"N/A",IF((CA24=CA25),"ok","&lt;&gt;"))</f>
        <v>N/A</v>
      </c>
      <c r="CB26" s="87"/>
      <c r="CC26" s="87" t="str">
        <f>IF(OR(ISBLANK(AJ10),ISBLANK(AJ11)),"N/A",IF((CC24=CC25),"ok","&lt;&gt;"))</f>
        <v>N/A</v>
      </c>
      <c r="CD26" s="87"/>
      <c r="CE26" s="87" t="str">
        <f>IF(OR(ISBLANK(AL10),ISBLANK(AL11)),"N/A",IF((CE24=CE25),"ok","&lt;&gt;"))</f>
        <v>N/A</v>
      </c>
      <c r="CF26" s="87"/>
      <c r="CG26" s="87" t="str">
        <f>IF(OR(ISBLANK(AN10),ISBLANK(AN11)),"N/A",IF((CG24=CG25),"ok","&lt;&gt;"))</f>
        <v>N/A</v>
      </c>
      <c r="CH26" s="87"/>
      <c r="CI26" s="87" t="str">
        <f>IF(OR(ISBLANK(AP10),ISBLANK(AP11)),"N/A",IF((CI24=CI25),"ok","&lt;&gt;"))</f>
        <v>N/A</v>
      </c>
      <c r="CJ26" s="87"/>
      <c r="CK26" s="87" t="str">
        <f>IF(OR(ISBLANK(AR10),ISBLANK(AR11)),"N/A",IF((CK24=CK25),"ok","&lt;&gt;"))</f>
        <v>N/A</v>
      </c>
      <c r="CL26" s="312"/>
      <c r="CM26" s="256">
        <v>204</v>
      </c>
      <c r="CN26" s="257" t="s">
        <v>416</v>
      </c>
      <c r="CO26" s="256">
        <v>119200</v>
      </c>
      <c r="CP26" s="256">
        <v>10300</v>
      </c>
      <c r="CQ26" s="256">
        <v>0</v>
      </c>
      <c r="CR26" s="256">
        <v>26390</v>
      </c>
      <c r="CS26" s="312"/>
      <c r="CT26" s="312"/>
      <c r="CU26" s="312"/>
    </row>
    <row r="27" spans="1:99" ht="22.5" customHeight="1">
      <c r="A27" s="307"/>
      <c r="B27" s="307"/>
      <c r="C27" s="305"/>
      <c r="D27" s="316"/>
      <c r="E27" s="316"/>
      <c r="F27" s="320"/>
      <c r="G27" s="320"/>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6"/>
      <c r="AH27" s="316"/>
      <c r="AI27" s="316"/>
      <c r="AJ27" s="316"/>
      <c r="AK27" s="316"/>
      <c r="AL27" s="316"/>
      <c r="AM27" s="316"/>
      <c r="AN27" s="316"/>
      <c r="AO27" s="316"/>
      <c r="AP27" s="316"/>
      <c r="AQ27" s="316"/>
      <c r="AR27" s="316"/>
      <c r="AS27" s="316"/>
      <c r="AT27" s="316"/>
      <c r="AU27" s="309"/>
      <c r="AV27" s="105">
        <v>1</v>
      </c>
      <c r="AW27" s="321" t="s">
        <v>610</v>
      </c>
      <c r="AX27" s="105" t="s">
        <v>372</v>
      </c>
      <c r="AY27" s="87">
        <f>F8</f>
        <v>0</v>
      </c>
      <c r="AZ27" s="88"/>
      <c r="BA27" s="87" t="s">
        <v>99</v>
      </c>
      <c r="BB27" s="88"/>
      <c r="BC27" s="87" t="s">
        <v>99</v>
      </c>
      <c r="BD27" s="88"/>
      <c r="BE27" s="87" t="s">
        <v>99</v>
      </c>
      <c r="BF27" s="88"/>
      <c r="BG27" s="87" t="s">
        <v>99</v>
      </c>
      <c r="BH27" s="88"/>
      <c r="BI27" s="87" t="s">
        <v>99</v>
      </c>
      <c r="BJ27" s="88"/>
      <c r="BK27" s="87" t="s">
        <v>99</v>
      </c>
      <c r="BL27" s="88"/>
      <c r="BM27" s="87" t="s">
        <v>99</v>
      </c>
      <c r="BN27" s="88"/>
      <c r="BO27" s="87" t="s">
        <v>99</v>
      </c>
      <c r="BP27" s="88"/>
      <c r="BQ27" s="87" t="s">
        <v>99</v>
      </c>
      <c r="BR27" s="87"/>
      <c r="BS27" s="87" t="s">
        <v>99</v>
      </c>
      <c r="BT27" s="88"/>
      <c r="BU27" s="87" t="s">
        <v>99</v>
      </c>
      <c r="BV27" s="88"/>
      <c r="BW27" s="87" t="s">
        <v>99</v>
      </c>
      <c r="BX27" s="88"/>
      <c r="BY27" s="87" t="s">
        <v>99</v>
      </c>
      <c r="BZ27" s="88"/>
      <c r="CA27" s="87" t="s">
        <v>99</v>
      </c>
      <c r="CB27" s="315"/>
      <c r="CC27" s="87" t="s">
        <v>99</v>
      </c>
      <c r="CD27" s="315"/>
      <c r="CE27" s="87" t="s">
        <v>99</v>
      </c>
      <c r="CF27" s="315"/>
      <c r="CG27" s="87" t="s">
        <v>99</v>
      </c>
      <c r="CH27" s="315"/>
      <c r="CI27" s="87" t="s">
        <v>99</v>
      </c>
      <c r="CJ27" s="315"/>
      <c r="CK27" s="87" t="s">
        <v>99</v>
      </c>
      <c r="CL27" s="312"/>
      <c r="CM27" s="256">
        <v>60</v>
      </c>
      <c r="CN27" s="257" t="s">
        <v>417</v>
      </c>
      <c r="CO27" s="256"/>
      <c r="CP27" s="256"/>
      <c r="CQ27" s="256"/>
      <c r="CR27" s="256"/>
      <c r="CS27" s="312"/>
      <c r="CT27" s="312"/>
      <c r="CU27" s="312"/>
    </row>
    <row r="28" spans="1:99" ht="14.25" customHeight="1">
      <c r="A28" s="307"/>
      <c r="B28" s="307"/>
      <c r="C28" s="305"/>
      <c r="D28" s="316"/>
      <c r="F28" s="322"/>
      <c r="G28" s="317"/>
      <c r="H28" s="318"/>
      <c r="I28" s="318"/>
      <c r="J28" s="318"/>
      <c r="K28" s="318"/>
      <c r="L28" s="318"/>
      <c r="M28" s="318"/>
      <c r="N28" s="318"/>
      <c r="O28" s="318"/>
      <c r="P28" s="318"/>
      <c r="Q28" s="318"/>
      <c r="R28" s="318"/>
      <c r="S28" s="318"/>
      <c r="T28" s="318"/>
      <c r="U28" s="318"/>
      <c r="V28" s="318"/>
      <c r="W28" s="319"/>
      <c r="X28" s="740" t="str">
        <f>LEFT(D10,LEN(D10)-7)&amp;" (W1, 3)"</f>
        <v>Internal flow (W1, 3)</v>
      </c>
      <c r="Y28" s="745"/>
      <c r="Z28" s="745"/>
      <c r="AA28" s="745"/>
      <c r="AB28" s="745"/>
      <c r="AC28" s="745"/>
      <c r="AD28" s="745"/>
      <c r="AE28" s="745"/>
      <c r="AF28" s="746"/>
      <c r="AG28" s="316"/>
      <c r="AH28" s="316"/>
      <c r="AI28" s="316"/>
      <c r="AJ28" s="316"/>
      <c r="AK28" s="316"/>
      <c r="AL28" s="316"/>
      <c r="AM28" s="316"/>
      <c r="AT28" s="316"/>
      <c r="AU28" s="309"/>
      <c r="AV28" s="310">
        <v>12</v>
      </c>
      <c r="AW28" s="311" t="s">
        <v>64</v>
      </c>
      <c r="AX28" s="87" t="s">
        <v>372</v>
      </c>
      <c r="AY28" s="87" t="e">
        <f>VLOOKUP(B3,CM7:CR211,3)</f>
        <v>#N/A</v>
      </c>
      <c r="AZ28" s="87"/>
      <c r="BA28" s="87" t="s">
        <v>99</v>
      </c>
      <c r="BB28" s="87"/>
      <c r="BC28" s="87" t="s">
        <v>99</v>
      </c>
      <c r="BD28" s="88"/>
      <c r="BE28" s="87" t="s">
        <v>99</v>
      </c>
      <c r="BF28" s="88"/>
      <c r="BG28" s="87" t="s">
        <v>99</v>
      </c>
      <c r="BH28" s="88"/>
      <c r="BI28" s="87" t="s">
        <v>99</v>
      </c>
      <c r="BJ28" s="88"/>
      <c r="BK28" s="87" t="s">
        <v>99</v>
      </c>
      <c r="BL28" s="88"/>
      <c r="BM28" s="87" t="s">
        <v>99</v>
      </c>
      <c r="BN28" s="88"/>
      <c r="BO28" s="87" t="s">
        <v>99</v>
      </c>
      <c r="BP28" s="88"/>
      <c r="BQ28" s="87" t="s">
        <v>99</v>
      </c>
      <c r="BR28" s="87"/>
      <c r="BS28" s="87" t="s">
        <v>99</v>
      </c>
      <c r="BT28" s="88"/>
      <c r="BU28" s="87" t="s">
        <v>99</v>
      </c>
      <c r="BV28" s="88"/>
      <c r="BW28" s="87" t="s">
        <v>99</v>
      </c>
      <c r="BX28" s="88"/>
      <c r="BY28" s="87" t="s">
        <v>99</v>
      </c>
      <c r="BZ28" s="88"/>
      <c r="CA28" s="87" t="s">
        <v>99</v>
      </c>
      <c r="CB28" s="315"/>
      <c r="CC28" s="87" t="s">
        <v>99</v>
      </c>
      <c r="CD28" s="315"/>
      <c r="CE28" s="87" t="s">
        <v>99</v>
      </c>
      <c r="CF28" s="315"/>
      <c r="CG28" s="87" t="s">
        <v>99</v>
      </c>
      <c r="CH28" s="315"/>
      <c r="CI28" s="87" t="s">
        <v>99</v>
      </c>
      <c r="CJ28" s="315"/>
      <c r="CK28" s="87" t="s">
        <v>99</v>
      </c>
      <c r="CL28" s="312"/>
      <c r="CM28" s="256">
        <v>64</v>
      </c>
      <c r="CN28" s="257" t="s">
        <v>418</v>
      </c>
      <c r="CO28" s="256">
        <v>84460</v>
      </c>
      <c r="CP28" s="256">
        <v>78000</v>
      </c>
      <c r="CQ28" s="256">
        <v>0</v>
      </c>
      <c r="CR28" s="256">
        <v>78000</v>
      </c>
      <c r="CS28" s="312"/>
      <c r="CT28" s="312"/>
      <c r="CU28" s="312"/>
    </row>
    <row r="29" spans="1:99" ht="33.75" customHeight="1">
      <c r="A29" s="307"/>
      <c r="B29" s="307"/>
      <c r="C29" s="305"/>
      <c r="D29" s="316"/>
      <c r="E29" s="316"/>
      <c r="F29" s="320"/>
      <c r="G29" s="320"/>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6"/>
      <c r="AH29" s="316"/>
      <c r="AI29" s="316"/>
      <c r="AJ29" s="316"/>
      <c r="AK29" s="316"/>
      <c r="AL29" s="316"/>
      <c r="AM29" s="316"/>
      <c r="AN29" s="740" t="str">
        <f>D13&amp;" (W1, 6)"</f>
        <v>Outflow of surface and groundwaters to neighbouring countries (W1, 6)</v>
      </c>
      <c r="AO29" s="741"/>
      <c r="AP29" s="741"/>
      <c r="AQ29" s="741"/>
      <c r="AR29" s="741"/>
      <c r="AS29" s="749"/>
      <c r="AT29" s="316"/>
      <c r="AU29" s="309"/>
      <c r="AV29" s="314" t="s">
        <v>208</v>
      </c>
      <c r="AW29" s="323" t="s">
        <v>274</v>
      </c>
      <c r="AX29" s="87" t="s">
        <v>372</v>
      </c>
      <c r="AY29" s="87" t="e">
        <f>ABS(AY27-AY28)</f>
        <v>#N/A</v>
      </c>
      <c r="AZ29" s="88"/>
      <c r="BA29" s="87" t="s">
        <v>99</v>
      </c>
      <c r="BB29" s="88"/>
      <c r="BC29" s="87" t="s">
        <v>99</v>
      </c>
      <c r="BD29" s="88"/>
      <c r="BE29" s="87" t="s">
        <v>99</v>
      </c>
      <c r="BF29" s="88"/>
      <c r="BG29" s="87" t="s">
        <v>99</v>
      </c>
      <c r="BH29" s="88"/>
      <c r="BI29" s="87" t="s">
        <v>99</v>
      </c>
      <c r="BJ29" s="88"/>
      <c r="BK29" s="87" t="s">
        <v>99</v>
      </c>
      <c r="BL29" s="88"/>
      <c r="BM29" s="87" t="s">
        <v>99</v>
      </c>
      <c r="BN29" s="88"/>
      <c r="BO29" s="87" t="s">
        <v>99</v>
      </c>
      <c r="BP29" s="88"/>
      <c r="BQ29" s="87" t="s">
        <v>99</v>
      </c>
      <c r="BR29" s="87"/>
      <c r="BS29" s="87" t="s">
        <v>99</v>
      </c>
      <c r="BT29" s="88"/>
      <c r="BU29" s="87" t="s">
        <v>99</v>
      </c>
      <c r="BV29" s="88"/>
      <c r="BW29" s="87" t="s">
        <v>99</v>
      </c>
      <c r="BX29" s="88"/>
      <c r="BY29" s="87" t="s">
        <v>99</v>
      </c>
      <c r="BZ29" s="88"/>
      <c r="CA29" s="87" t="s">
        <v>99</v>
      </c>
      <c r="CB29" s="315"/>
      <c r="CC29" s="87" t="s">
        <v>99</v>
      </c>
      <c r="CD29" s="315"/>
      <c r="CE29" s="87" t="s">
        <v>99</v>
      </c>
      <c r="CF29" s="315"/>
      <c r="CG29" s="87" t="s">
        <v>99</v>
      </c>
      <c r="CH29" s="315"/>
      <c r="CI29" s="87" t="s">
        <v>99</v>
      </c>
      <c r="CJ29" s="315"/>
      <c r="CK29" s="87" t="s">
        <v>99</v>
      </c>
      <c r="CL29" s="312"/>
      <c r="CM29" s="256">
        <v>68</v>
      </c>
      <c r="CN29" s="257" t="s">
        <v>175</v>
      </c>
      <c r="CO29" s="256">
        <v>1259000</v>
      </c>
      <c r="CP29" s="256">
        <v>303500</v>
      </c>
      <c r="CQ29" s="256">
        <v>263000</v>
      </c>
      <c r="CR29" s="256">
        <v>622500</v>
      </c>
      <c r="CS29" s="312"/>
      <c r="CT29" s="312"/>
      <c r="CU29" s="312"/>
    </row>
    <row r="30" spans="1:99" ht="44.25" customHeight="1">
      <c r="A30" s="307"/>
      <c r="B30" s="307"/>
      <c r="C30" s="305"/>
      <c r="D30" s="316"/>
      <c r="E30" s="316"/>
      <c r="F30" s="320"/>
      <c r="G30" s="320"/>
      <c r="H30" s="319"/>
      <c r="I30" s="319"/>
      <c r="J30" s="319"/>
      <c r="K30" s="319"/>
      <c r="L30" s="319"/>
      <c r="M30" s="319"/>
      <c r="N30" s="319"/>
      <c r="O30" s="319"/>
      <c r="P30" s="319"/>
      <c r="Q30" s="319"/>
      <c r="R30" s="319"/>
      <c r="S30" s="319"/>
      <c r="T30" s="319"/>
      <c r="U30" s="319"/>
      <c r="V30" s="740" t="str">
        <f>D11&amp;" (W1, 4)"</f>
        <v>Inflow of surface and groundwaters from neighbouring countries (W1, 4)</v>
      </c>
      <c r="W30" s="750"/>
      <c r="X30" s="750"/>
      <c r="Y30" s="751"/>
      <c r="Z30" s="319"/>
      <c r="AA30" s="319"/>
      <c r="AB30" s="319"/>
      <c r="AC30" s="319"/>
      <c r="AD30" s="319"/>
      <c r="AE30" s="740" t="str">
        <f>LEFT(D12,LEN(D12)-7)&amp;" (W1, 5)"</f>
        <v>Renewable freshwater resources (W1, 5)</v>
      </c>
      <c r="AF30" s="770"/>
      <c r="AG30" s="770"/>
      <c r="AH30" s="771"/>
      <c r="AI30" s="316"/>
      <c r="AJ30" s="316"/>
      <c r="AK30" s="316"/>
      <c r="AL30" s="316"/>
      <c r="AM30" s="316"/>
      <c r="AN30" s="317"/>
      <c r="AO30" s="317"/>
      <c r="AP30" s="317"/>
      <c r="AQ30" s="317"/>
      <c r="AR30" s="317"/>
      <c r="AS30" s="324"/>
      <c r="AT30" s="320"/>
      <c r="AU30" s="309"/>
      <c r="AV30" s="87">
        <v>3</v>
      </c>
      <c r="AW30" s="271" t="s">
        <v>23</v>
      </c>
      <c r="AX30" s="87" t="s">
        <v>372</v>
      </c>
      <c r="AY30" s="87">
        <f>F10</f>
        <v>0</v>
      </c>
      <c r="AZ30" s="88"/>
      <c r="BA30" s="87" t="s">
        <v>99</v>
      </c>
      <c r="BB30" s="88"/>
      <c r="BC30" s="87" t="s">
        <v>99</v>
      </c>
      <c r="BD30" s="88"/>
      <c r="BE30" s="87" t="s">
        <v>99</v>
      </c>
      <c r="BF30" s="88"/>
      <c r="BG30" s="87" t="s">
        <v>99</v>
      </c>
      <c r="BH30" s="88"/>
      <c r="BI30" s="87" t="s">
        <v>99</v>
      </c>
      <c r="BJ30" s="88"/>
      <c r="BK30" s="87" t="s">
        <v>99</v>
      </c>
      <c r="BL30" s="88"/>
      <c r="BM30" s="87" t="s">
        <v>99</v>
      </c>
      <c r="BN30" s="88"/>
      <c r="BO30" s="87" t="s">
        <v>99</v>
      </c>
      <c r="BP30" s="88"/>
      <c r="BQ30" s="87" t="s">
        <v>99</v>
      </c>
      <c r="BR30" s="87"/>
      <c r="BS30" s="87" t="s">
        <v>99</v>
      </c>
      <c r="BT30" s="88"/>
      <c r="BU30" s="87" t="s">
        <v>99</v>
      </c>
      <c r="BV30" s="88"/>
      <c r="BW30" s="87" t="s">
        <v>99</v>
      </c>
      <c r="BX30" s="88"/>
      <c r="BY30" s="87" t="s">
        <v>99</v>
      </c>
      <c r="BZ30" s="88"/>
      <c r="CA30" s="87" t="s">
        <v>99</v>
      </c>
      <c r="CB30" s="315"/>
      <c r="CC30" s="87" t="s">
        <v>99</v>
      </c>
      <c r="CD30" s="315"/>
      <c r="CE30" s="87" t="s">
        <v>99</v>
      </c>
      <c r="CF30" s="315"/>
      <c r="CG30" s="87" t="s">
        <v>99</v>
      </c>
      <c r="CH30" s="315"/>
      <c r="CI30" s="87" t="s">
        <v>99</v>
      </c>
      <c r="CJ30" s="315"/>
      <c r="CK30" s="87" t="s">
        <v>99</v>
      </c>
      <c r="CL30" s="312"/>
      <c r="CM30" s="256">
        <v>70</v>
      </c>
      <c r="CN30" s="257" t="s">
        <v>419</v>
      </c>
      <c r="CO30" s="256">
        <v>52640</v>
      </c>
      <c r="CP30" s="256">
        <v>35500</v>
      </c>
      <c r="CQ30" s="256">
        <v>2000</v>
      </c>
      <c r="CR30" s="256">
        <v>37500</v>
      </c>
      <c r="CS30" s="312"/>
      <c r="CT30" s="312"/>
      <c r="CU30" s="312"/>
    </row>
    <row r="31" spans="1:99" s="220" customFormat="1" ht="44.25" customHeight="1">
      <c r="A31" s="307"/>
      <c r="B31" s="307"/>
      <c r="C31" s="305"/>
      <c r="E31" s="322"/>
      <c r="F31" s="317"/>
      <c r="G31" s="317"/>
      <c r="H31" s="318"/>
      <c r="I31" s="325"/>
      <c r="J31" s="325"/>
      <c r="K31" s="325"/>
      <c r="L31" s="325"/>
      <c r="M31" s="325"/>
      <c r="N31" s="325"/>
      <c r="O31" s="325"/>
      <c r="P31" s="325"/>
      <c r="Q31" s="325"/>
      <c r="R31" s="325"/>
      <c r="S31" s="325"/>
      <c r="T31" s="325"/>
      <c r="U31" s="326"/>
      <c r="V31" s="762"/>
      <c r="W31" s="763"/>
      <c r="X31" s="763"/>
      <c r="Y31" s="763"/>
      <c r="Z31" s="326"/>
      <c r="AA31" s="327"/>
      <c r="AB31" s="318"/>
      <c r="AC31" s="318"/>
      <c r="AD31" s="318"/>
      <c r="AE31" s="762"/>
      <c r="AF31" s="764"/>
      <c r="AG31" s="764"/>
      <c r="AH31" s="764"/>
      <c r="AI31" s="328"/>
      <c r="AJ31" s="328"/>
      <c r="AK31" s="239"/>
      <c r="AL31" s="239"/>
      <c r="AM31" s="239"/>
      <c r="AN31" s="740" t="str">
        <f>D16&amp;" (W1, 9)"</f>
        <v>Outflow of surface and groundwaters to the sea (W1, 9)</v>
      </c>
      <c r="AO31" s="741"/>
      <c r="AP31" s="741"/>
      <c r="AQ31" s="741"/>
      <c r="AR31" s="741"/>
      <c r="AS31" s="749"/>
      <c r="AT31" s="328"/>
      <c r="AU31" s="309"/>
      <c r="AV31" s="329">
        <v>13</v>
      </c>
      <c r="AW31" s="311" t="s">
        <v>65</v>
      </c>
      <c r="AX31" s="87" t="s">
        <v>372</v>
      </c>
      <c r="AY31" s="87" t="e">
        <f>VLOOKUP(B3,CM7:CR211,4)</f>
        <v>#N/A</v>
      </c>
      <c r="AZ31" s="88"/>
      <c r="BA31" s="87" t="s">
        <v>99</v>
      </c>
      <c r="BB31" s="88"/>
      <c r="BC31" s="87" t="s">
        <v>99</v>
      </c>
      <c r="BD31" s="88"/>
      <c r="BE31" s="87" t="s">
        <v>99</v>
      </c>
      <c r="BF31" s="88"/>
      <c r="BG31" s="87" t="s">
        <v>99</v>
      </c>
      <c r="BH31" s="88"/>
      <c r="BI31" s="87" t="s">
        <v>99</v>
      </c>
      <c r="BJ31" s="88"/>
      <c r="BK31" s="87" t="s">
        <v>99</v>
      </c>
      <c r="BL31" s="88"/>
      <c r="BM31" s="87" t="s">
        <v>99</v>
      </c>
      <c r="BN31" s="88"/>
      <c r="BO31" s="87" t="s">
        <v>99</v>
      </c>
      <c r="BP31" s="88"/>
      <c r="BQ31" s="87" t="s">
        <v>99</v>
      </c>
      <c r="BR31" s="87"/>
      <c r="BS31" s="87" t="s">
        <v>99</v>
      </c>
      <c r="BT31" s="88"/>
      <c r="BU31" s="87" t="s">
        <v>99</v>
      </c>
      <c r="BV31" s="88"/>
      <c r="BW31" s="87" t="s">
        <v>99</v>
      </c>
      <c r="BX31" s="88"/>
      <c r="BY31" s="87" t="s">
        <v>99</v>
      </c>
      <c r="BZ31" s="88"/>
      <c r="CA31" s="87" t="s">
        <v>99</v>
      </c>
      <c r="CB31" s="315"/>
      <c r="CC31" s="87" t="s">
        <v>99</v>
      </c>
      <c r="CD31" s="315"/>
      <c r="CE31" s="87" t="s">
        <v>99</v>
      </c>
      <c r="CF31" s="315"/>
      <c r="CG31" s="87" t="s">
        <v>99</v>
      </c>
      <c r="CH31" s="315"/>
      <c r="CI31" s="87" t="s">
        <v>99</v>
      </c>
      <c r="CJ31" s="315"/>
      <c r="CK31" s="87" t="s">
        <v>99</v>
      </c>
      <c r="CL31" s="227"/>
      <c r="CM31" s="256">
        <v>72</v>
      </c>
      <c r="CN31" s="257" t="s">
        <v>420</v>
      </c>
      <c r="CO31" s="256">
        <v>242000</v>
      </c>
      <c r="CP31" s="256">
        <v>2400</v>
      </c>
      <c r="CQ31" s="256">
        <v>9040</v>
      </c>
      <c r="CR31" s="256">
        <v>12240</v>
      </c>
      <c r="CS31" s="227"/>
      <c r="CT31" s="227"/>
      <c r="CU31" s="227"/>
    </row>
    <row r="32" spans="1:99" s="220" customFormat="1" ht="24.75" customHeight="1">
      <c r="A32" s="307"/>
      <c r="B32" s="307"/>
      <c r="C32" s="305"/>
      <c r="E32" s="330"/>
      <c r="F32" s="330"/>
      <c r="G32" s="227"/>
      <c r="I32" s="328"/>
      <c r="J32" s="328"/>
      <c r="K32" s="328"/>
      <c r="L32" s="328"/>
      <c r="M32" s="328"/>
      <c r="N32" s="328"/>
      <c r="O32" s="328"/>
      <c r="P32" s="328"/>
      <c r="Q32" s="328"/>
      <c r="R32" s="328"/>
      <c r="S32" s="328"/>
      <c r="T32" s="328"/>
      <c r="U32" s="330"/>
      <c r="V32" s="330"/>
      <c r="W32" s="330"/>
      <c r="X32" s="328"/>
      <c r="Y32" s="328"/>
      <c r="Z32" s="330"/>
      <c r="AA32" s="330"/>
      <c r="AB32" s="330"/>
      <c r="AC32" s="330"/>
      <c r="AD32" s="328"/>
      <c r="AE32" s="328"/>
      <c r="AF32" s="328"/>
      <c r="AG32" s="328"/>
      <c r="AH32" s="328"/>
      <c r="AI32" s="328"/>
      <c r="AJ32" s="328"/>
      <c r="AK32" s="328"/>
      <c r="AL32" s="328"/>
      <c r="AM32" s="328"/>
      <c r="AN32" s="328"/>
      <c r="AO32" s="328"/>
      <c r="AP32" s="328"/>
      <c r="AQ32" s="328"/>
      <c r="AR32" s="328"/>
      <c r="AS32" s="328"/>
      <c r="AT32" s="328"/>
      <c r="AU32" s="233"/>
      <c r="AV32" s="314" t="s">
        <v>208</v>
      </c>
      <c r="AW32" s="311" t="s">
        <v>275</v>
      </c>
      <c r="AX32" s="87" t="s">
        <v>372</v>
      </c>
      <c r="AY32" s="87" t="e">
        <f>ABS(AY30-AY31)</f>
        <v>#N/A</v>
      </c>
      <c r="AZ32" s="87"/>
      <c r="BA32" s="87" t="s">
        <v>99</v>
      </c>
      <c r="BB32" s="87"/>
      <c r="BC32" s="87" t="s">
        <v>99</v>
      </c>
      <c r="BD32" s="87"/>
      <c r="BE32" s="87" t="s">
        <v>99</v>
      </c>
      <c r="BF32" s="87"/>
      <c r="BG32" s="87" t="s">
        <v>99</v>
      </c>
      <c r="BH32" s="87"/>
      <c r="BI32" s="87" t="s">
        <v>99</v>
      </c>
      <c r="BJ32" s="87"/>
      <c r="BK32" s="87" t="s">
        <v>99</v>
      </c>
      <c r="BL32" s="87"/>
      <c r="BM32" s="87" t="s">
        <v>99</v>
      </c>
      <c r="BN32" s="87"/>
      <c r="BO32" s="87" t="s">
        <v>99</v>
      </c>
      <c r="BP32" s="87"/>
      <c r="BQ32" s="87" t="s">
        <v>99</v>
      </c>
      <c r="BR32" s="87"/>
      <c r="BS32" s="87" t="s">
        <v>99</v>
      </c>
      <c r="BT32" s="87"/>
      <c r="BU32" s="87" t="s">
        <v>99</v>
      </c>
      <c r="BV32" s="87"/>
      <c r="BW32" s="87" t="s">
        <v>99</v>
      </c>
      <c r="BX32" s="87"/>
      <c r="BY32" s="87" t="s">
        <v>99</v>
      </c>
      <c r="BZ32" s="87"/>
      <c r="CA32" s="87" t="s">
        <v>99</v>
      </c>
      <c r="CB32" s="87"/>
      <c r="CC32" s="87" t="s">
        <v>99</v>
      </c>
      <c r="CD32" s="87"/>
      <c r="CE32" s="87" t="s">
        <v>99</v>
      </c>
      <c r="CF32" s="87"/>
      <c r="CG32" s="87" t="s">
        <v>99</v>
      </c>
      <c r="CH32" s="87"/>
      <c r="CI32" s="87" t="s">
        <v>99</v>
      </c>
      <c r="CJ32" s="87"/>
      <c r="CK32" s="87" t="s">
        <v>99</v>
      </c>
      <c r="CL32" s="227"/>
      <c r="CM32" s="256">
        <v>76</v>
      </c>
      <c r="CN32" s="257" t="s">
        <v>421</v>
      </c>
      <c r="CO32" s="256">
        <v>15174000</v>
      </c>
      <c r="CP32" s="256">
        <v>5418000</v>
      </c>
      <c r="CQ32" s="256">
        <v>2815000</v>
      </c>
      <c r="CR32" s="256">
        <v>8233000</v>
      </c>
      <c r="CS32" s="227"/>
      <c r="CT32" s="227"/>
      <c r="CU32" s="227"/>
    </row>
    <row r="33" spans="1:99" s="235" customFormat="1" ht="15.75">
      <c r="A33" s="230"/>
      <c r="B33" s="199">
        <v>1</v>
      </c>
      <c r="C33" s="331" t="s">
        <v>371</v>
      </c>
      <c r="D33" s="332"/>
      <c r="E33" s="331"/>
      <c r="F33" s="333"/>
      <c r="G33" s="334"/>
      <c r="H33" s="335"/>
      <c r="I33" s="336"/>
      <c r="J33" s="335"/>
      <c r="K33" s="336"/>
      <c r="L33" s="335"/>
      <c r="M33" s="336"/>
      <c r="N33" s="335"/>
      <c r="O33" s="336"/>
      <c r="P33" s="335"/>
      <c r="Q33" s="334"/>
      <c r="R33" s="335"/>
      <c r="S33" s="334"/>
      <c r="T33" s="335"/>
      <c r="U33" s="334"/>
      <c r="V33" s="335"/>
      <c r="W33" s="334"/>
      <c r="X33" s="335"/>
      <c r="Y33" s="334"/>
      <c r="Z33" s="335"/>
      <c r="AA33" s="334"/>
      <c r="AB33" s="335"/>
      <c r="AC33" s="336"/>
      <c r="AD33" s="335"/>
      <c r="AE33" s="334"/>
      <c r="AF33" s="335"/>
      <c r="AG33" s="334"/>
      <c r="AH33" s="335"/>
      <c r="AI33" s="334"/>
      <c r="AJ33" s="334"/>
      <c r="AK33" s="334"/>
      <c r="AL33" s="334"/>
      <c r="AM33" s="334"/>
      <c r="AN33" s="335"/>
      <c r="AO33" s="337"/>
      <c r="AP33" s="333"/>
      <c r="AQ33" s="333"/>
      <c r="AR33" s="333"/>
      <c r="AS33" s="333"/>
      <c r="AT33" s="333"/>
      <c r="AU33" s="209"/>
      <c r="AV33" s="87">
        <v>4</v>
      </c>
      <c r="AW33" s="271" t="s">
        <v>28</v>
      </c>
      <c r="AX33" s="87" t="s">
        <v>372</v>
      </c>
      <c r="AY33" s="87">
        <f>F11</f>
        <v>0</v>
      </c>
      <c r="AZ33" s="87"/>
      <c r="BA33" s="87" t="s">
        <v>99</v>
      </c>
      <c r="BB33" s="87"/>
      <c r="BC33" s="87" t="s">
        <v>99</v>
      </c>
      <c r="BD33" s="87"/>
      <c r="BE33" s="87" t="s">
        <v>99</v>
      </c>
      <c r="BF33" s="87"/>
      <c r="BG33" s="87" t="s">
        <v>99</v>
      </c>
      <c r="BH33" s="87"/>
      <c r="BI33" s="87" t="s">
        <v>99</v>
      </c>
      <c r="BJ33" s="87"/>
      <c r="BK33" s="87" t="s">
        <v>99</v>
      </c>
      <c r="BL33" s="87"/>
      <c r="BM33" s="87" t="s">
        <v>99</v>
      </c>
      <c r="BN33" s="87"/>
      <c r="BO33" s="87" t="s">
        <v>99</v>
      </c>
      <c r="BP33" s="87"/>
      <c r="BQ33" s="87" t="s">
        <v>99</v>
      </c>
      <c r="BR33" s="87"/>
      <c r="BS33" s="87" t="s">
        <v>99</v>
      </c>
      <c r="BT33" s="87"/>
      <c r="BU33" s="87" t="s">
        <v>99</v>
      </c>
      <c r="BV33" s="87"/>
      <c r="BW33" s="87" t="s">
        <v>99</v>
      </c>
      <c r="BX33" s="87"/>
      <c r="BY33" s="87" t="s">
        <v>99</v>
      </c>
      <c r="BZ33" s="87"/>
      <c r="CA33" s="87" t="s">
        <v>99</v>
      </c>
      <c r="CB33" s="87"/>
      <c r="CC33" s="87" t="s">
        <v>99</v>
      </c>
      <c r="CD33" s="87"/>
      <c r="CE33" s="87" t="s">
        <v>99</v>
      </c>
      <c r="CF33" s="87"/>
      <c r="CG33" s="87" t="s">
        <v>99</v>
      </c>
      <c r="CH33" s="87"/>
      <c r="CI33" s="87" t="s">
        <v>99</v>
      </c>
      <c r="CJ33" s="87"/>
      <c r="CK33" s="87" t="s">
        <v>99</v>
      </c>
      <c r="CL33" s="338"/>
      <c r="CM33" s="256">
        <v>96</v>
      </c>
      <c r="CN33" s="257" t="s">
        <v>422</v>
      </c>
      <c r="CO33" s="256">
        <v>15710</v>
      </c>
      <c r="CP33" s="256">
        <v>8500</v>
      </c>
      <c r="CQ33" s="256">
        <v>0</v>
      </c>
      <c r="CR33" s="256">
        <v>8500</v>
      </c>
      <c r="CS33" s="338"/>
      <c r="CT33" s="338"/>
      <c r="CU33" s="338"/>
    </row>
    <row r="34" spans="3:96" ht="6" customHeight="1">
      <c r="C34" s="339"/>
      <c r="D34" s="340"/>
      <c r="E34" s="341"/>
      <c r="F34" s="220"/>
      <c r="G34" s="226"/>
      <c r="H34" s="225"/>
      <c r="I34" s="317"/>
      <c r="J34" s="225"/>
      <c r="K34" s="317"/>
      <c r="L34" s="225"/>
      <c r="M34" s="317"/>
      <c r="N34" s="225"/>
      <c r="O34" s="317"/>
      <c r="P34" s="225"/>
      <c r="Q34" s="226"/>
      <c r="R34" s="225"/>
      <c r="S34" s="226"/>
      <c r="T34" s="225"/>
      <c r="U34" s="226"/>
      <c r="V34" s="225"/>
      <c r="W34" s="226"/>
      <c r="X34" s="225"/>
      <c r="Y34" s="226"/>
      <c r="Z34" s="225"/>
      <c r="AA34" s="226"/>
      <c r="AB34" s="225"/>
      <c r="AC34" s="317"/>
      <c r="AD34" s="225"/>
      <c r="AE34" s="226"/>
      <c r="AF34" s="225"/>
      <c r="AG34" s="226"/>
      <c r="AH34" s="225"/>
      <c r="AI34" s="226"/>
      <c r="AJ34" s="226"/>
      <c r="AK34" s="226"/>
      <c r="AL34" s="226"/>
      <c r="AM34" s="226"/>
      <c r="AN34" s="225"/>
      <c r="AO34" s="219"/>
      <c r="AP34" s="220"/>
      <c r="AQ34" s="220"/>
      <c r="AR34" s="220"/>
      <c r="AS34" s="220"/>
      <c r="AT34" s="220"/>
      <c r="AV34" s="310">
        <v>14</v>
      </c>
      <c r="AW34" s="311" t="s">
        <v>67</v>
      </c>
      <c r="AX34" s="87" t="s">
        <v>372</v>
      </c>
      <c r="AY34" s="87" t="e">
        <f>VLOOKUP(B3,CM7:CR211,5)</f>
        <v>#N/A</v>
      </c>
      <c r="AZ34" s="87"/>
      <c r="BA34" s="87" t="s">
        <v>99</v>
      </c>
      <c r="BB34" s="87"/>
      <c r="BC34" s="87" t="s">
        <v>99</v>
      </c>
      <c r="BD34" s="87"/>
      <c r="BE34" s="87" t="s">
        <v>99</v>
      </c>
      <c r="BF34" s="87"/>
      <c r="BG34" s="87" t="s">
        <v>99</v>
      </c>
      <c r="BH34" s="87"/>
      <c r="BI34" s="87" t="s">
        <v>99</v>
      </c>
      <c r="BJ34" s="87"/>
      <c r="BK34" s="87" t="s">
        <v>99</v>
      </c>
      <c r="BL34" s="87"/>
      <c r="BM34" s="87" t="s">
        <v>99</v>
      </c>
      <c r="BN34" s="87"/>
      <c r="BO34" s="87" t="s">
        <v>99</v>
      </c>
      <c r="BP34" s="87"/>
      <c r="BQ34" s="87" t="s">
        <v>99</v>
      </c>
      <c r="BR34" s="87"/>
      <c r="BS34" s="87" t="s">
        <v>99</v>
      </c>
      <c r="BT34" s="87"/>
      <c r="BU34" s="87" t="s">
        <v>99</v>
      </c>
      <c r="BV34" s="87"/>
      <c r="BW34" s="87" t="s">
        <v>99</v>
      </c>
      <c r="BX34" s="87"/>
      <c r="BY34" s="87" t="s">
        <v>99</v>
      </c>
      <c r="BZ34" s="87"/>
      <c r="CA34" s="87" t="s">
        <v>99</v>
      </c>
      <c r="CB34" s="87"/>
      <c r="CC34" s="87" t="s">
        <v>99</v>
      </c>
      <c r="CD34" s="87"/>
      <c r="CE34" s="87" t="s">
        <v>99</v>
      </c>
      <c r="CF34" s="87"/>
      <c r="CG34" s="87" t="s">
        <v>99</v>
      </c>
      <c r="CH34" s="87"/>
      <c r="CI34" s="87" t="s">
        <v>99</v>
      </c>
      <c r="CJ34" s="87"/>
      <c r="CK34" s="87" t="s">
        <v>99</v>
      </c>
      <c r="CM34" s="256">
        <v>100</v>
      </c>
      <c r="CN34" s="257" t="s">
        <v>423</v>
      </c>
      <c r="CO34" s="256">
        <v>67490</v>
      </c>
      <c r="CP34" s="256">
        <v>21000</v>
      </c>
      <c r="CQ34" s="256">
        <v>300</v>
      </c>
      <c r="CR34" s="256">
        <v>21300</v>
      </c>
    </row>
    <row r="35" spans="3:96" ht="18" customHeight="1">
      <c r="C35" s="342" t="s">
        <v>366</v>
      </c>
      <c r="D35" s="759" t="s">
        <v>369</v>
      </c>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1"/>
      <c r="AV35" s="314" t="s">
        <v>208</v>
      </c>
      <c r="AW35" s="311" t="s">
        <v>276</v>
      </c>
      <c r="AX35" s="87" t="s">
        <v>372</v>
      </c>
      <c r="AY35" s="87" t="e">
        <f>ABS(AY33-AY34)</f>
        <v>#N/A</v>
      </c>
      <c r="AZ35" s="87"/>
      <c r="BA35" s="87" t="s">
        <v>99</v>
      </c>
      <c r="BB35" s="87"/>
      <c r="BC35" s="87" t="s">
        <v>99</v>
      </c>
      <c r="BD35" s="87"/>
      <c r="BE35" s="87" t="s">
        <v>99</v>
      </c>
      <c r="BF35" s="87"/>
      <c r="BG35" s="87" t="s">
        <v>99</v>
      </c>
      <c r="BH35" s="87"/>
      <c r="BI35" s="87" t="s">
        <v>99</v>
      </c>
      <c r="BJ35" s="87"/>
      <c r="BK35" s="87" t="s">
        <v>99</v>
      </c>
      <c r="BL35" s="87"/>
      <c r="BM35" s="87" t="s">
        <v>99</v>
      </c>
      <c r="BN35" s="87"/>
      <c r="BO35" s="87" t="s">
        <v>99</v>
      </c>
      <c r="BP35" s="87"/>
      <c r="BQ35" s="87" t="s">
        <v>99</v>
      </c>
      <c r="BR35" s="87"/>
      <c r="BS35" s="87" t="s">
        <v>99</v>
      </c>
      <c r="BT35" s="87"/>
      <c r="BU35" s="87" t="s">
        <v>99</v>
      </c>
      <c r="BV35" s="87"/>
      <c r="BW35" s="87" t="s">
        <v>99</v>
      </c>
      <c r="BX35" s="87"/>
      <c r="BY35" s="87" t="s">
        <v>99</v>
      </c>
      <c r="BZ35" s="87"/>
      <c r="CA35" s="87" t="s">
        <v>99</v>
      </c>
      <c r="CB35" s="87"/>
      <c r="CC35" s="87" t="s">
        <v>99</v>
      </c>
      <c r="CD35" s="87"/>
      <c r="CE35" s="87" t="s">
        <v>99</v>
      </c>
      <c r="CF35" s="87"/>
      <c r="CG35" s="87" t="s">
        <v>99</v>
      </c>
      <c r="CH35" s="87"/>
      <c r="CI35" s="87" t="s">
        <v>99</v>
      </c>
      <c r="CJ35" s="87"/>
      <c r="CK35" s="87" t="s">
        <v>99</v>
      </c>
      <c r="CM35" s="256">
        <v>854</v>
      </c>
      <c r="CN35" s="257" t="s">
        <v>424</v>
      </c>
      <c r="CO35" s="256">
        <v>205100</v>
      </c>
      <c r="CP35" s="256">
        <v>12500</v>
      </c>
      <c r="CQ35" s="256">
        <v>0</v>
      </c>
      <c r="CR35" s="256">
        <v>12500</v>
      </c>
    </row>
    <row r="36" spans="3:96" ht="18" customHeight="1">
      <c r="C36" s="596"/>
      <c r="D36" s="736"/>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8"/>
      <c r="AV36" s="105">
        <v>5</v>
      </c>
      <c r="AW36" s="281" t="s">
        <v>22</v>
      </c>
      <c r="AX36" s="87" t="s">
        <v>372</v>
      </c>
      <c r="AY36" s="87">
        <f>F12</f>
        <v>0</v>
      </c>
      <c r="AZ36" s="87"/>
      <c r="BA36" s="87" t="s">
        <v>99</v>
      </c>
      <c r="BB36" s="87"/>
      <c r="BC36" s="87" t="s">
        <v>99</v>
      </c>
      <c r="BD36" s="87"/>
      <c r="BE36" s="87" t="s">
        <v>99</v>
      </c>
      <c r="BF36" s="87"/>
      <c r="BG36" s="87" t="s">
        <v>99</v>
      </c>
      <c r="BH36" s="87"/>
      <c r="BI36" s="87" t="s">
        <v>99</v>
      </c>
      <c r="BJ36" s="87"/>
      <c r="BK36" s="87" t="s">
        <v>99</v>
      </c>
      <c r="BL36" s="87"/>
      <c r="BM36" s="87" t="s">
        <v>99</v>
      </c>
      <c r="BN36" s="87"/>
      <c r="BO36" s="87" t="s">
        <v>99</v>
      </c>
      <c r="BP36" s="87"/>
      <c r="BQ36" s="87" t="s">
        <v>99</v>
      </c>
      <c r="BR36" s="87"/>
      <c r="BS36" s="87" t="s">
        <v>99</v>
      </c>
      <c r="BT36" s="87"/>
      <c r="BU36" s="87" t="s">
        <v>99</v>
      </c>
      <c r="BV36" s="87"/>
      <c r="BW36" s="87" t="s">
        <v>99</v>
      </c>
      <c r="BX36" s="87"/>
      <c r="BY36" s="87" t="s">
        <v>99</v>
      </c>
      <c r="BZ36" s="87"/>
      <c r="CA36" s="87" t="s">
        <v>99</v>
      </c>
      <c r="CB36" s="87"/>
      <c r="CC36" s="87" t="s">
        <v>99</v>
      </c>
      <c r="CD36" s="87"/>
      <c r="CE36" s="87" t="s">
        <v>99</v>
      </c>
      <c r="CF36" s="87"/>
      <c r="CG36" s="87" t="s">
        <v>99</v>
      </c>
      <c r="CH36" s="87"/>
      <c r="CI36" s="87" t="s">
        <v>99</v>
      </c>
      <c r="CJ36" s="87"/>
      <c r="CK36" s="87" t="s">
        <v>99</v>
      </c>
      <c r="CM36" s="256">
        <v>108</v>
      </c>
      <c r="CN36" s="257" t="s">
        <v>425</v>
      </c>
      <c r="CO36" s="256">
        <v>35460</v>
      </c>
      <c r="CP36" s="256">
        <v>10060</v>
      </c>
      <c r="CQ36" s="256">
        <v>126</v>
      </c>
      <c r="CR36" s="256">
        <v>12540</v>
      </c>
    </row>
    <row r="37" spans="3:96" ht="18" customHeight="1">
      <c r="C37" s="596"/>
      <c r="D37" s="756"/>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757"/>
      <c r="AR37" s="757"/>
      <c r="AS37" s="757"/>
      <c r="AT37" s="758"/>
      <c r="AV37" s="310">
        <v>15</v>
      </c>
      <c r="AW37" s="311" t="s">
        <v>66</v>
      </c>
      <c r="AX37" s="87" t="s">
        <v>372</v>
      </c>
      <c r="AY37" s="87" t="e">
        <f>VLOOKUP(B3,CM7:CR211,6)</f>
        <v>#N/A</v>
      </c>
      <c r="AZ37" s="87"/>
      <c r="BA37" s="87" t="s">
        <v>99</v>
      </c>
      <c r="BB37" s="87"/>
      <c r="BC37" s="87" t="s">
        <v>99</v>
      </c>
      <c r="BD37" s="87"/>
      <c r="BE37" s="87" t="s">
        <v>99</v>
      </c>
      <c r="BF37" s="87"/>
      <c r="BG37" s="87" t="s">
        <v>99</v>
      </c>
      <c r="BH37" s="87"/>
      <c r="BI37" s="87" t="s">
        <v>99</v>
      </c>
      <c r="BJ37" s="87"/>
      <c r="BK37" s="87" t="s">
        <v>99</v>
      </c>
      <c r="BL37" s="87"/>
      <c r="BM37" s="87" t="s">
        <v>99</v>
      </c>
      <c r="BN37" s="87"/>
      <c r="BO37" s="87" t="s">
        <v>99</v>
      </c>
      <c r="BP37" s="87"/>
      <c r="BQ37" s="87" t="s">
        <v>99</v>
      </c>
      <c r="BR37" s="87"/>
      <c r="BS37" s="87" t="s">
        <v>99</v>
      </c>
      <c r="BT37" s="87"/>
      <c r="BU37" s="87" t="s">
        <v>99</v>
      </c>
      <c r="BV37" s="87"/>
      <c r="BW37" s="87" t="s">
        <v>99</v>
      </c>
      <c r="BX37" s="87"/>
      <c r="BY37" s="87" t="s">
        <v>99</v>
      </c>
      <c r="BZ37" s="87"/>
      <c r="CA37" s="87" t="s">
        <v>99</v>
      </c>
      <c r="CB37" s="87"/>
      <c r="CC37" s="87" t="s">
        <v>99</v>
      </c>
      <c r="CD37" s="87"/>
      <c r="CE37" s="87" t="s">
        <v>99</v>
      </c>
      <c r="CF37" s="87"/>
      <c r="CG37" s="87" t="s">
        <v>99</v>
      </c>
      <c r="CH37" s="87"/>
      <c r="CI37" s="87" t="s">
        <v>99</v>
      </c>
      <c r="CJ37" s="87"/>
      <c r="CK37" s="87" t="s">
        <v>99</v>
      </c>
      <c r="CM37" s="256">
        <v>116</v>
      </c>
      <c r="CN37" s="257" t="s">
        <v>426</v>
      </c>
      <c r="CO37" s="256">
        <v>344700</v>
      </c>
      <c r="CP37" s="256">
        <v>120600</v>
      </c>
      <c r="CQ37" s="256">
        <v>355500</v>
      </c>
      <c r="CR37" s="256">
        <v>476100</v>
      </c>
    </row>
    <row r="38" spans="3:96" ht="18" customHeight="1">
      <c r="C38" s="596"/>
      <c r="D38" s="756"/>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757"/>
      <c r="AR38" s="757"/>
      <c r="AS38" s="757"/>
      <c r="AT38" s="758"/>
      <c r="AV38" s="343" t="s">
        <v>208</v>
      </c>
      <c r="AW38" s="344" t="s">
        <v>277</v>
      </c>
      <c r="AX38" s="103" t="s">
        <v>372</v>
      </c>
      <c r="AY38" s="103" t="e">
        <f>ABS(AY36-AY37)</f>
        <v>#N/A</v>
      </c>
      <c r="AZ38" s="103"/>
      <c r="BA38" s="103" t="s">
        <v>99</v>
      </c>
      <c r="BB38" s="103"/>
      <c r="BC38" s="103" t="s">
        <v>99</v>
      </c>
      <c r="BD38" s="103"/>
      <c r="BE38" s="103" t="s">
        <v>99</v>
      </c>
      <c r="BF38" s="103"/>
      <c r="BG38" s="103" t="s">
        <v>99</v>
      </c>
      <c r="BH38" s="103"/>
      <c r="BI38" s="103" t="s">
        <v>99</v>
      </c>
      <c r="BJ38" s="103"/>
      <c r="BK38" s="103" t="s">
        <v>99</v>
      </c>
      <c r="BL38" s="103"/>
      <c r="BM38" s="103" t="s">
        <v>99</v>
      </c>
      <c r="BN38" s="103"/>
      <c r="BO38" s="103" t="s">
        <v>99</v>
      </c>
      <c r="BP38" s="103"/>
      <c r="BQ38" s="103" t="s">
        <v>99</v>
      </c>
      <c r="BR38" s="103"/>
      <c r="BS38" s="103" t="s">
        <v>99</v>
      </c>
      <c r="BT38" s="103"/>
      <c r="BU38" s="103" t="s">
        <v>99</v>
      </c>
      <c r="BV38" s="103"/>
      <c r="BW38" s="103" t="s">
        <v>99</v>
      </c>
      <c r="BX38" s="103"/>
      <c r="BY38" s="103" t="s">
        <v>99</v>
      </c>
      <c r="BZ38" s="103"/>
      <c r="CA38" s="103" t="s">
        <v>99</v>
      </c>
      <c r="CB38" s="103"/>
      <c r="CC38" s="103" t="s">
        <v>99</v>
      </c>
      <c r="CD38" s="103"/>
      <c r="CE38" s="103" t="s">
        <v>99</v>
      </c>
      <c r="CF38" s="103"/>
      <c r="CG38" s="103" t="s">
        <v>99</v>
      </c>
      <c r="CH38" s="103"/>
      <c r="CI38" s="103" t="s">
        <v>99</v>
      </c>
      <c r="CJ38" s="103"/>
      <c r="CK38" s="103" t="s">
        <v>99</v>
      </c>
      <c r="CM38" s="256">
        <v>120</v>
      </c>
      <c r="CN38" s="257" t="s">
        <v>427</v>
      </c>
      <c r="CO38" s="256">
        <v>762600</v>
      </c>
      <c r="CP38" s="256">
        <v>273000</v>
      </c>
      <c r="CQ38" s="256">
        <v>4000</v>
      </c>
      <c r="CR38" s="256">
        <v>285500</v>
      </c>
    </row>
    <row r="39" spans="3:96" ht="18" customHeight="1">
      <c r="C39" s="596"/>
      <c r="D39" s="756"/>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8"/>
      <c r="AV39" s="345" t="s">
        <v>68</v>
      </c>
      <c r="AW39" s="346" t="s">
        <v>69</v>
      </c>
      <c r="CM39" s="256">
        <v>124</v>
      </c>
      <c r="CN39" s="257" t="s">
        <v>428</v>
      </c>
      <c r="CO39" s="256">
        <v>5362000</v>
      </c>
      <c r="CP39" s="256">
        <v>2850000</v>
      </c>
      <c r="CQ39" s="256">
        <v>52000</v>
      </c>
      <c r="CR39" s="256">
        <v>2902000</v>
      </c>
    </row>
    <row r="40" spans="3:96" ht="18" customHeight="1">
      <c r="C40" s="596"/>
      <c r="D40" s="756"/>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8"/>
      <c r="AV40" s="345" t="s">
        <v>70</v>
      </c>
      <c r="AW40" s="346" t="s">
        <v>71</v>
      </c>
      <c r="CM40" s="256">
        <v>132</v>
      </c>
      <c r="CN40" s="257" t="s">
        <v>429</v>
      </c>
      <c r="CO40" s="256">
        <v>918.8</v>
      </c>
      <c r="CP40" s="256">
        <v>300</v>
      </c>
      <c r="CQ40" s="256">
        <v>0</v>
      </c>
      <c r="CR40" s="256">
        <v>300</v>
      </c>
    </row>
    <row r="41" spans="3:96" ht="18" customHeight="1">
      <c r="C41" s="596"/>
      <c r="D41" s="756"/>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7"/>
      <c r="AS41" s="757"/>
      <c r="AT41" s="758"/>
      <c r="AV41" s="347" t="s">
        <v>73</v>
      </c>
      <c r="AW41" s="346" t="s">
        <v>75</v>
      </c>
      <c r="AX41" s="348"/>
      <c r="CM41" s="256">
        <v>140</v>
      </c>
      <c r="CN41" s="257" t="s">
        <v>430</v>
      </c>
      <c r="CO41" s="256">
        <v>836700</v>
      </c>
      <c r="CP41" s="256">
        <v>141000</v>
      </c>
      <c r="CQ41" s="256">
        <v>0</v>
      </c>
      <c r="CR41" s="256">
        <v>144400</v>
      </c>
    </row>
    <row r="42" spans="3:96" ht="18" customHeight="1">
      <c r="C42" s="596"/>
      <c r="D42" s="756"/>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8"/>
      <c r="AV42" s="347" t="s">
        <v>72</v>
      </c>
      <c r="AW42" s="346" t="s">
        <v>14</v>
      </c>
      <c r="AX42" s="348"/>
      <c r="CM42" s="256">
        <v>148</v>
      </c>
      <c r="CN42" s="257" t="s">
        <v>431</v>
      </c>
      <c r="CO42" s="256">
        <v>413400</v>
      </c>
      <c r="CP42" s="256">
        <v>15000</v>
      </c>
      <c r="CQ42" s="256">
        <v>28000</v>
      </c>
      <c r="CR42" s="256">
        <v>43000</v>
      </c>
    </row>
    <row r="43" spans="3:96" ht="18" customHeight="1">
      <c r="C43" s="596"/>
      <c r="D43" s="756"/>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8"/>
      <c r="AV43" s="345" t="s">
        <v>74</v>
      </c>
      <c r="AW43" s="346" t="s">
        <v>76</v>
      </c>
      <c r="AX43" s="348"/>
      <c r="CM43" s="256">
        <v>152</v>
      </c>
      <c r="CN43" s="257" t="s">
        <v>432</v>
      </c>
      <c r="CO43" s="256">
        <v>1151000</v>
      </c>
      <c r="CP43" s="256">
        <v>884000</v>
      </c>
      <c r="CQ43" s="256">
        <v>38000</v>
      </c>
      <c r="CR43" s="256">
        <v>922000</v>
      </c>
    </row>
    <row r="44" spans="3:96" ht="18" customHeight="1">
      <c r="C44" s="596"/>
      <c r="D44" s="756"/>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8"/>
      <c r="AX44" s="348"/>
      <c r="CM44" s="256">
        <v>156</v>
      </c>
      <c r="CN44" s="257" t="s">
        <v>433</v>
      </c>
      <c r="CO44" s="256">
        <v>6192000</v>
      </c>
      <c r="CP44" s="256">
        <v>2813000</v>
      </c>
      <c r="CQ44" s="256">
        <v>17170</v>
      </c>
      <c r="CR44" s="256">
        <v>2840000</v>
      </c>
    </row>
    <row r="45" spans="3:96" ht="18" customHeight="1">
      <c r="C45" s="596"/>
      <c r="D45" s="756"/>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8"/>
      <c r="CM45" s="256">
        <v>344</v>
      </c>
      <c r="CN45" s="257" t="s">
        <v>437</v>
      </c>
      <c r="CO45" s="256"/>
      <c r="CP45" s="256"/>
      <c r="CQ45" s="256"/>
      <c r="CR45" s="256"/>
    </row>
    <row r="46" spans="3:96" ht="18" customHeight="1">
      <c r="C46" s="596"/>
      <c r="D46" s="756"/>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8"/>
      <c r="AX46" s="348"/>
      <c r="CM46" s="256">
        <v>446</v>
      </c>
      <c r="CN46" s="257" t="s">
        <v>438</v>
      </c>
      <c r="CO46" s="256"/>
      <c r="CP46" s="256"/>
      <c r="CQ46" s="256"/>
      <c r="CR46" s="256"/>
    </row>
    <row r="47" spans="3:96" ht="18" customHeight="1">
      <c r="C47" s="596"/>
      <c r="D47" s="756"/>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7"/>
      <c r="AS47" s="757"/>
      <c r="AT47" s="758"/>
      <c r="AV47" s="348"/>
      <c r="AW47" s="348"/>
      <c r="AX47" s="348"/>
      <c r="CM47" s="256">
        <v>170</v>
      </c>
      <c r="CN47" s="257" t="s">
        <v>439</v>
      </c>
      <c r="CO47" s="256">
        <v>2982000</v>
      </c>
      <c r="CP47" s="256">
        <v>2112000</v>
      </c>
      <c r="CQ47" s="256">
        <v>20000</v>
      </c>
      <c r="CR47" s="256">
        <v>2132000</v>
      </c>
    </row>
    <row r="48" spans="3:96" ht="18" customHeight="1">
      <c r="C48" s="596"/>
      <c r="D48" s="756"/>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7"/>
      <c r="AS48" s="757"/>
      <c r="AT48" s="758"/>
      <c r="CM48" s="256">
        <v>174</v>
      </c>
      <c r="CN48" s="257" t="s">
        <v>440</v>
      </c>
      <c r="CO48" s="256">
        <v>1675</v>
      </c>
      <c r="CP48" s="256">
        <v>1200</v>
      </c>
      <c r="CQ48" s="256">
        <v>0</v>
      </c>
      <c r="CR48" s="256">
        <v>1200</v>
      </c>
    </row>
    <row r="49" spans="3:96" ht="18" customHeight="1">
      <c r="C49" s="596"/>
      <c r="D49" s="756"/>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8"/>
      <c r="CM49" s="256">
        <v>178</v>
      </c>
      <c r="CN49" s="257" t="s">
        <v>441</v>
      </c>
      <c r="CO49" s="256">
        <v>562900</v>
      </c>
      <c r="CP49" s="256">
        <v>222000</v>
      </c>
      <c r="CQ49" s="256">
        <v>52000</v>
      </c>
      <c r="CR49" s="256">
        <v>832000</v>
      </c>
    </row>
    <row r="50" spans="3:96" ht="18" customHeight="1">
      <c r="C50" s="596"/>
      <c r="D50" s="756"/>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c r="AT50" s="758"/>
      <c r="CM50" s="256">
        <v>188</v>
      </c>
      <c r="CN50" s="257" t="s">
        <v>442</v>
      </c>
      <c r="CO50" s="256">
        <v>149500</v>
      </c>
      <c r="CP50" s="256">
        <v>112400</v>
      </c>
      <c r="CQ50" s="256">
        <v>0</v>
      </c>
      <c r="CR50" s="256">
        <v>112400</v>
      </c>
    </row>
    <row r="51" spans="3:96" ht="18" customHeight="1">
      <c r="C51" s="596"/>
      <c r="D51" s="756"/>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8"/>
      <c r="CM51" s="256">
        <v>384</v>
      </c>
      <c r="CN51" s="257" t="s">
        <v>176</v>
      </c>
      <c r="CO51" s="256">
        <v>434700</v>
      </c>
      <c r="CP51" s="256">
        <v>76840</v>
      </c>
      <c r="CQ51" s="256">
        <v>1300</v>
      </c>
      <c r="CR51" s="256">
        <v>81140</v>
      </c>
    </row>
    <row r="52" spans="3:96" ht="18" customHeight="1">
      <c r="C52" s="596"/>
      <c r="D52" s="756"/>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8"/>
      <c r="CM52" s="256">
        <v>191</v>
      </c>
      <c r="CN52" s="257" t="s">
        <v>443</v>
      </c>
      <c r="CO52" s="256">
        <v>62980</v>
      </c>
      <c r="CP52" s="256">
        <v>37700</v>
      </c>
      <c r="CQ52" s="256">
        <v>33700</v>
      </c>
      <c r="CR52" s="256">
        <v>105500</v>
      </c>
    </row>
    <row r="53" spans="3:96" ht="18" customHeight="1">
      <c r="C53" s="596"/>
      <c r="D53" s="756"/>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8"/>
      <c r="CM53" s="256">
        <v>192</v>
      </c>
      <c r="CN53" s="257" t="s">
        <v>444</v>
      </c>
      <c r="CO53" s="256">
        <v>146700</v>
      </c>
      <c r="CP53" s="256">
        <v>38120</v>
      </c>
      <c r="CQ53" s="256">
        <v>0</v>
      </c>
      <c r="CR53" s="256">
        <v>38120</v>
      </c>
    </row>
    <row r="54" spans="3:96" ht="18" customHeight="1">
      <c r="C54" s="596"/>
      <c r="D54" s="756"/>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8"/>
      <c r="CM54" s="256">
        <v>196</v>
      </c>
      <c r="CN54" s="257" t="s">
        <v>445</v>
      </c>
      <c r="CO54" s="256">
        <v>4606</v>
      </c>
      <c r="CP54" s="256">
        <v>780</v>
      </c>
      <c r="CQ54" s="256">
        <v>0</v>
      </c>
      <c r="CR54" s="256">
        <v>780</v>
      </c>
    </row>
    <row r="55" spans="3:96" ht="18" customHeight="1">
      <c r="C55" s="596"/>
      <c r="D55" s="756"/>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8"/>
      <c r="CM55" s="256">
        <v>203</v>
      </c>
      <c r="CN55" s="257" t="s">
        <v>446</v>
      </c>
      <c r="CO55" s="256">
        <v>53390</v>
      </c>
      <c r="CP55" s="256">
        <v>13150</v>
      </c>
      <c r="CQ55" s="256">
        <v>0</v>
      </c>
      <c r="CR55" s="256">
        <v>13150</v>
      </c>
    </row>
    <row r="56" spans="3:96" ht="18" customHeight="1">
      <c r="C56" s="596"/>
      <c r="D56" s="756"/>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8"/>
      <c r="CM56" s="256">
        <v>408</v>
      </c>
      <c r="CN56" s="257" t="s">
        <v>177</v>
      </c>
      <c r="CO56" s="256">
        <v>127000</v>
      </c>
      <c r="CP56" s="256">
        <v>67000</v>
      </c>
      <c r="CQ56" s="256">
        <v>0</v>
      </c>
      <c r="CR56" s="256">
        <v>77150</v>
      </c>
    </row>
    <row r="57" spans="3:96" ht="18" customHeight="1">
      <c r="C57" s="597"/>
      <c r="D57" s="767"/>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68"/>
      <c r="AL57" s="768"/>
      <c r="AM57" s="768"/>
      <c r="AN57" s="768"/>
      <c r="AO57" s="768"/>
      <c r="AP57" s="768"/>
      <c r="AQ57" s="768"/>
      <c r="AR57" s="768"/>
      <c r="AS57" s="768"/>
      <c r="AT57" s="769"/>
      <c r="CM57" s="256">
        <v>180</v>
      </c>
      <c r="CN57" s="257" t="s">
        <v>178</v>
      </c>
      <c r="CO57" s="256">
        <v>3618000</v>
      </c>
      <c r="CP57" s="256">
        <v>900000</v>
      </c>
      <c r="CQ57" s="256">
        <v>383000</v>
      </c>
      <c r="CR57" s="256">
        <v>1283000</v>
      </c>
    </row>
    <row r="58" spans="3:96" ht="16.5" customHeight="1">
      <c r="C58" s="765"/>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349"/>
      <c r="AK58" s="349"/>
      <c r="AL58" s="349"/>
      <c r="AM58" s="349"/>
      <c r="CM58" s="256">
        <v>208</v>
      </c>
      <c r="CN58" s="257" t="s">
        <v>447</v>
      </c>
      <c r="CO58" s="256">
        <v>30290</v>
      </c>
      <c r="CP58" s="256">
        <v>6000</v>
      </c>
      <c r="CQ58" s="256">
        <v>0</v>
      </c>
      <c r="CR58" s="256">
        <v>6000</v>
      </c>
    </row>
    <row r="59" spans="3:96" ht="12.75">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349"/>
      <c r="AK59" s="349"/>
      <c r="AL59" s="349"/>
      <c r="AM59" s="349"/>
      <c r="CM59" s="256">
        <v>262</v>
      </c>
      <c r="CN59" s="257" t="s">
        <v>448</v>
      </c>
      <c r="CO59" s="256">
        <v>5104</v>
      </c>
      <c r="CP59" s="256">
        <v>300</v>
      </c>
      <c r="CQ59" s="256">
        <v>0</v>
      </c>
      <c r="CR59" s="256">
        <v>300</v>
      </c>
    </row>
    <row r="60" spans="91:96" ht="12.75">
      <c r="CM60" s="256">
        <v>212</v>
      </c>
      <c r="CN60" s="257" t="s">
        <v>449</v>
      </c>
      <c r="CO60" s="256">
        <v>1562</v>
      </c>
      <c r="CP60" s="256">
        <v>0</v>
      </c>
      <c r="CQ60" s="256">
        <v>0</v>
      </c>
      <c r="CR60" s="256">
        <v>0</v>
      </c>
    </row>
    <row r="61" spans="91:96" ht="12.75">
      <c r="CM61" s="256">
        <v>214</v>
      </c>
      <c r="CN61" s="257" t="s">
        <v>450</v>
      </c>
      <c r="CO61" s="256">
        <v>68620</v>
      </c>
      <c r="CP61" s="256">
        <v>21000</v>
      </c>
      <c r="CQ61" s="256">
        <v>0</v>
      </c>
      <c r="CR61" s="256">
        <v>21000</v>
      </c>
    </row>
    <row r="62" spans="91:96" ht="12.75">
      <c r="CM62" s="256">
        <v>218</v>
      </c>
      <c r="CN62" s="257" t="s">
        <v>451</v>
      </c>
      <c r="CO62" s="256">
        <v>535000</v>
      </c>
      <c r="CP62" s="256">
        <v>432000</v>
      </c>
      <c r="CQ62" s="256">
        <v>0</v>
      </c>
      <c r="CR62" s="256">
        <v>424400</v>
      </c>
    </row>
    <row r="63" spans="91:96" ht="12.75">
      <c r="CM63" s="256">
        <v>818</v>
      </c>
      <c r="CN63" s="257" t="s">
        <v>452</v>
      </c>
      <c r="CO63" s="256">
        <v>51070</v>
      </c>
      <c r="CP63" s="256">
        <v>1800</v>
      </c>
      <c r="CQ63" s="256">
        <v>55500</v>
      </c>
      <c r="CR63" s="256">
        <v>57300</v>
      </c>
    </row>
    <row r="64" spans="91:96" ht="12.75">
      <c r="CM64" s="256">
        <v>222</v>
      </c>
      <c r="CN64" s="257" t="s">
        <v>453</v>
      </c>
      <c r="CO64" s="256">
        <v>36270</v>
      </c>
      <c r="CP64" s="256">
        <v>17750</v>
      </c>
      <c r="CQ64" s="256">
        <v>4710</v>
      </c>
      <c r="CR64" s="256">
        <v>25230</v>
      </c>
    </row>
    <row r="65" spans="91:96" ht="12.75">
      <c r="CM65" s="256">
        <v>226</v>
      </c>
      <c r="CN65" s="257" t="s">
        <v>454</v>
      </c>
      <c r="CO65" s="256">
        <v>60480</v>
      </c>
      <c r="CP65" s="256">
        <v>26000</v>
      </c>
      <c r="CQ65" s="256">
        <v>0</v>
      </c>
      <c r="CR65" s="256">
        <v>26000</v>
      </c>
    </row>
    <row r="66" spans="91:96" ht="12.75">
      <c r="CM66" s="256">
        <v>232</v>
      </c>
      <c r="CN66" s="257" t="s">
        <v>455</v>
      </c>
      <c r="CO66" s="256">
        <v>45160</v>
      </c>
      <c r="CP66" s="256">
        <v>2800</v>
      </c>
      <c r="CQ66" s="256">
        <v>0</v>
      </c>
      <c r="CR66" s="256">
        <v>6300</v>
      </c>
    </row>
    <row r="67" spans="91:96" ht="12.75">
      <c r="CM67" s="256">
        <v>233</v>
      </c>
      <c r="CN67" s="257" t="s">
        <v>456</v>
      </c>
      <c r="CO67" s="256">
        <v>28310</v>
      </c>
      <c r="CP67" s="256">
        <v>12710</v>
      </c>
      <c r="CQ67" s="256">
        <v>96</v>
      </c>
      <c r="CR67" s="256">
        <v>12810</v>
      </c>
    </row>
    <row r="68" spans="91:96" ht="12.75">
      <c r="CM68" s="256">
        <v>231</v>
      </c>
      <c r="CN68" s="257" t="s">
        <v>457</v>
      </c>
      <c r="CO68" s="256">
        <v>936400</v>
      </c>
      <c r="CP68" s="256">
        <v>122000</v>
      </c>
      <c r="CQ68" s="256">
        <v>0</v>
      </c>
      <c r="CR68" s="256">
        <v>122000</v>
      </c>
    </row>
    <row r="69" spans="91:96" ht="12.75">
      <c r="CM69" s="256">
        <v>242</v>
      </c>
      <c r="CN69" s="257" t="s">
        <v>458</v>
      </c>
      <c r="CO69" s="256">
        <v>47360</v>
      </c>
      <c r="CP69" s="256">
        <v>28550</v>
      </c>
      <c r="CQ69" s="256">
        <v>0</v>
      </c>
      <c r="CR69" s="256">
        <v>28550</v>
      </c>
    </row>
    <row r="70" spans="91:96" ht="12.75">
      <c r="CM70" s="256">
        <v>246</v>
      </c>
      <c r="CN70" s="257" t="s">
        <v>459</v>
      </c>
      <c r="CO70" s="256">
        <v>181400</v>
      </c>
      <c r="CP70" s="256">
        <v>107000</v>
      </c>
      <c r="CQ70" s="256">
        <v>3000</v>
      </c>
      <c r="CR70" s="256">
        <v>110000</v>
      </c>
    </row>
    <row r="71" spans="91:96" ht="12.75">
      <c r="CM71" s="256">
        <v>250</v>
      </c>
      <c r="CN71" s="257" t="s">
        <v>460</v>
      </c>
      <c r="CO71" s="256">
        <v>476100</v>
      </c>
      <c r="CP71" s="256">
        <v>200000</v>
      </c>
      <c r="CQ71" s="256">
        <v>11000</v>
      </c>
      <c r="CR71" s="256">
        <v>211000</v>
      </c>
    </row>
    <row r="72" spans="91:96" ht="12.75">
      <c r="CM72" s="256">
        <v>254</v>
      </c>
      <c r="CN72" s="257" t="s">
        <v>461</v>
      </c>
      <c r="CO72" s="256"/>
      <c r="CP72" s="256"/>
      <c r="CQ72" s="256"/>
      <c r="CR72" s="256"/>
    </row>
    <row r="73" spans="91:96" ht="12.75">
      <c r="CM73" s="256">
        <v>266</v>
      </c>
      <c r="CN73" s="257" t="s">
        <v>462</v>
      </c>
      <c r="CO73" s="256">
        <v>490100</v>
      </c>
      <c r="CP73" s="256">
        <v>164000</v>
      </c>
      <c r="CQ73" s="256">
        <v>0</v>
      </c>
      <c r="CR73" s="256">
        <v>164000</v>
      </c>
    </row>
    <row r="74" spans="91:96" ht="12.75">
      <c r="CM74" s="256">
        <v>270</v>
      </c>
      <c r="CN74" s="257" t="s">
        <v>463</v>
      </c>
      <c r="CO74" s="256">
        <v>9447</v>
      </c>
      <c r="CP74" s="256">
        <v>3000</v>
      </c>
      <c r="CQ74" s="256">
        <v>5000</v>
      </c>
      <c r="CR74" s="256">
        <v>8000</v>
      </c>
    </row>
    <row r="75" spans="91:96" ht="12.75">
      <c r="CM75" s="256">
        <v>268</v>
      </c>
      <c r="CN75" s="257" t="s">
        <v>464</v>
      </c>
      <c r="CO75" s="256">
        <v>71510</v>
      </c>
      <c r="CP75" s="256">
        <v>58130</v>
      </c>
      <c r="CQ75" s="256">
        <v>5200</v>
      </c>
      <c r="CR75" s="256">
        <v>63330</v>
      </c>
    </row>
    <row r="76" spans="91:96" ht="12.75">
      <c r="CM76" s="256">
        <v>276</v>
      </c>
      <c r="CN76" s="257" t="s">
        <v>465</v>
      </c>
      <c r="CO76" s="256">
        <v>250000</v>
      </c>
      <c r="CP76" s="256">
        <v>107000</v>
      </c>
      <c r="CQ76" s="256">
        <v>47000</v>
      </c>
      <c r="CR76" s="256">
        <v>154000</v>
      </c>
    </row>
    <row r="77" spans="91:96" ht="12.75">
      <c r="CM77" s="256">
        <v>288</v>
      </c>
      <c r="CN77" s="257" t="s">
        <v>466</v>
      </c>
      <c r="CO77" s="256">
        <v>283100</v>
      </c>
      <c r="CP77" s="256">
        <v>30300</v>
      </c>
      <c r="CQ77" s="256">
        <v>22900</v>
      </c>
      <c r="CR77" s="256">
        <v>53200</v>
      </c>
    </row>
    <row r="78" spans="91:96" ht="12.75">
      <c r="CM78" s="256">
        <v>300</v>
      </c>
      <c r="CN78" s="257" t="s">
        <v>467</v>
      </c>
      <c r="CO78" s="256">
        <v>86040</v>
      </c>
      <c r="CP78" s="256">
        <v>58000</v>
      </c>
      <c r="CQ78" s="256">
        <v>13450</v>
      </c>
      <c r="CR78" s="256">
        <v>74250</v>
      </c>
    </row>
    <row r="79" spans="91:96" ht="12.75">
      <c r="CM79" s="256">
        <v>304</v>
      </c>
      <c r="CN79" s="257" t="s">
        <v>468</v>
      </c>
      <c r="CO79" s="256"/>
      <c r="CP79" s="256"/>
      <c r="CQ79" s="256"/>
      <c r="CR79" s="256"/>
    </row>
    <row r="80" spans="91:96" ht="12.75">
      <c r="CM80" s="256">
        <v>308</v>
      </c>
      <c r="CN80" s="257" t="s">
        <v>469</v>
      </c>
      <c r="CO80" s="256">
        <v>799</v>
      </c>
      <c r="CP80" s="256">
        <v>0</v>
      </c>
      <c r="CQ80" s="256">
        <v>0</v>
      </c>
      <c r="CR80" s="256">
        <v>0</v>
      </c>
    </row>
    <row r="81" spans="91:96" ht="12.75">
      <c r="CM81" s="256">
        <v>312</v>
      </c>
      <c r="CN81" s="257" t="s">
        <v>470</v>
      </c>
      <c r="CO81" s="256"/>
      <c r="CP81" s="256"/>
      <c r="CQ81" s="256"/>
      <c r="CR81" s="256"/>
    </row>
    <row r="82" spans="91:96" ht="12.75">
      <c r="CM82" s="256">
        <v>320</v>
      </c>
      <c r="CN82" s="257" t="s">
        <v>471</v>
      </c>
      <c r="CO82" s="256">
        <v>217300</v>
      </c>
      <c r="CP82" s="256">
        <v>109200</v>
      </c>
      <c r="CQ82" s="256">
        <v>2070</v>
      </c>
      <c r="CR82" s="256">
        <v>111300</v>
      </c>
    </row>
    <row r="83" spans="91:96" ht="12.75">
      <c r="CM83" s="256">
        <v>324</v>
      </c>
      <c r="CN83" s="257" t="s">
        <v>472</v>
      </c>
      <c r="CO83" s="256">
        <v>405900</v>
      </c>
      <c r="CP83" s="256">
        <v>226000</v>
      </c>
      <c r="CQ83" s="256">
        <v>0</v>
      </c>
      <c r="CR83" s="256">
        <v>226000</v>
      </c>
    </row>
    <row r="84" spans="91:96" ht="12.75">
      <c r="CM84" s="256">
        <v>624</v>
      </c>
      <c r="CN84" s="257" t="s">
        <v>473</v>
      </c>
      <c r="CO84" s="256">
        <v>56980</v>
      </c>
      <c r="CP84" s="256">
        <v>16000</v>
      </c>
      <c r="CQ84" s="256">
        <v>15000</v>
      </c>
      <c r="CR84" s="256">
        <v>31000</v>
      </c>
    </row>
    <row r="85" spans="91:96" ht="12.75">
      <c r="CM85" s="256">
        <v>328</v>
      </c>
      <c r="CN85" s="257" t="s">
        <v>479</v>
      </c>
      <c r="CO85" s="256">
        <v>513100</v>
      </c>
      <c r="CP85" s="256">
        <v>241000</v>
      </c>
      <c r="CQ85" s="256">
        <v>0</v>
      </c>
      <c r="CR85" s="256">
        <v>241000</v>
      </c>
    </row>
    <row r="86" spans="91:96" ht="12.75">
      <c r="CM86" s="256">
        <v>332</v>
      </c>
      <c r="CN86" s="257" t="s">
        <v>480</v>
      </c>
      <c r="CO86" s="256">
        <v>39960</v>
      </c>
      <c r="CP86" s="256">
        <v>13010</v>
      </c>
      <c r="CQ86" s="256">
        <v>1015</v>
      </c>
      <c r="CR86" s="256">
        <v>14030</v>
      </c>
    </row>
    <row r="87" spans="91:96" ht="12.75">
      <c r="CM87" s="256">
        <v>340</v>
      </c>
      <c r="CN87" s="257" t="s">
        <v>481</v>
      </c>
      <c r="CO87" s="256">
        <v>222300</v>
      </c>
      <c r="CP87" s="256">
        <v>95930</v>
      </c>
      <c r="CQ87" s="256">
        <v>0</v>
      </c>
      <c r="CR87" s="256">
        <v>95930</v>
      </c>
    </row>
    <row r="88" spans="91:96" ht="12.75">
      <c r="CM88" s="256">
        <v>348</v>
      </c>
      <c r="CN88" s="257" t="s">
        <v>482</v>
      </c>
      <c r="CO88" s="256">
        <v>54790</v>
      </c>
      <c r="CP88" s="256">
        <v>6000</v>
      </c>
      <c r="CQ88" s="256">
        <v>98000</v>
      </c>
      <c r="CR88" s="256">
        <v>104000</v>
      </c>
    </row>
    <row r="89" spans="91:96" ht="12.75">
      <c r="CM89" s="256">
        <v>352</v>
      </c>
      <c r="CN89" s="257" t="s">
        <v>483</v>
      </c>
      <c r="CO89" s="256">
        <v>199800</v>
      </c>
      <c r="CP89" s="256">
        <v>170000</v>
      </c>
      <c r="CQ89" s="256">
        <v>0</v>
      </c>
      <c r="CR89" s="256">
        <v>170000</v>
      </c>
    </row>
    <row r="90" spans="91:96" ht="12.75">
      <c r="CM90" s="256">
        <v>356</v>
      </c>
      <c r="CN90" s="257" t="s">
        <v>484</v>
      </c>
      <c r="CO90" s="256">
        <v>3560000</v>
      </c>
      <c r="CP90" s="256">
        <v>1446000</v>
      </c>
      <c r="CQ90" s="256">
        <v>635200</v>
      </c>
      <c r="CR90" s="256">
        <v>1911000</v>
      </c>
    </row>
    <row r="91" spans="91:96" ht="12.75">
      <c r="CM91" s="256">
        <v>360</v>
      </c>
      <c r="CN91" s="257" t="s">
        <v>485</v>
      </c>
      <c r="CO91" s="256">
        <v>5146000</v>
      </c>
      <c r="CP91" s="256">
        <v>2019000</v>
      </c>
      <c r="CQ91" s="256">
        <v>0</v>
      </c>
      <c r="CR91" s="256">
        <v>2019000</v>
      </c>
    </row>
    <row r="92" spans="91:96" ht="22.5">
      <c r="CM92" s="256">
        <v>364</v>
      </c>
      <c r="CN92" s="257" t="s">
        <v>486</v>
      </c>
      <c r="CO92" s="256">
        <v>397900</v>
      </c>
      <c r="CP92" s="256">
        <v>128500</v>
      </c>
      <c r="CQ92" s="256">
        <v>7020</v>
      </c>
      <c r="CR92" s="256">
        <v>137000</v>
      </c>
    </row>
    <row r="93" spans="91:96" ht="12.75">
      <c r="CM93" s="256">
        <v>368</v>
      </c>
      <c r="CN93" s="257" t="s">
        <v>487</v>
      </c>
      <c r="CO93" s="256">
        <v>94010</v>
      </c>
      <c r="CP93" s="256">
        <v>35200</v>
      </c>
      <c r="CQ93" s="256">
        <v>54660</v>
      </c>
      <c r="CR93" s="256">
        <v>89860</v>
      </c>
    </row>
    <row r="94" spans="91:96" ht="12.75">
      <c r="CM94" s="256">
        <v>372</v>
      </c>
      <c r="CN94" s="257" t="s">
        <v>488</v>
      </c>
      <c r="CO94" s="256">
        <v>78570</v>
      </c>
      <c r="CP94" s="256">
        <v>49000</v>
      </c>
      <c r="CQ94" s="256">
        <v>3000</v>
      </c>
      <c r="CR94" s="256">
        <v>52000</v>
      </c>
    </row>
    <row r="95" spans="91:96" ht="12.75">
      <c r="CM95" s="256">
        <v>376</v>
      </c>
      <c r="CN95" s="257" t="s">
        <v>489</v>
      </c>
      <c r="CO95" s="256">
        <v>9600</v>
      </c>
      <c r="CP95" s="256">
        <v>750</v>
      </c>
      <c r="CQ95" s="256">
        <v>1030</v>
      </c>
      <c r="CR95" s="256">
        <v>1780</v>
      </c>
    </row>
    <row r="96" spans="91:96" ht="12.75">
      <c r="CM96" s="256">
        <v>380</v>
      </c>
      <c r="CN96" s="257" t="s">
        <v>490</v>
      </c>
      <c r="CO96" s="256">
        <v>250700</v>
      </c>
      <c r="CP96" s="256">
        <v>182500</v>
      </c>
      <c r="CQ96" s="256">
        <v>8800</v>
      </c>
      <c r="CR96" s="256">
        <v>191300</v>
      </c>
    </row>
    <row r="97" spans="91:96" ht="12.75">
      <c r="CM97" s="256">
        <v>388</v>
      </c>
      <c r="CN97" s="257" t="s">
        <v>491</v>
      </c>
      <c r="CO97" s="256">
        <v>22540</v>
      </c>
      <c r="CP97" s="256">
        <v>9404</v>
      </c>
      <c r="CQ97" s="256">
        <v>0</v>
      </c>
      <c r="CR97" s="256">
        <v>9404</v>
      </c>
    </row>
    <row r="98" spans="91:96" ht="12.75">
      <c r="CM98" s="256">
        <v>392</v>
      </c>
      <c r="CN98" s="257" t="s">
        <v>492</v>
      </c>
      <c r="CO98" s="256">
        <v>630400</v>
      </c>
      <c r="CP98" s="256">
        <v>430000</v>
      </c>
      <c r="CQ98" s="256">
        <v>0</v>
      </c>
      <c r="CR98" s="256">
        <v>430000</v>
      </c>
    </row>
    <row r="99" spans="91:96" ht="12.75">
      <c r="CM99" s="256">
        <v>400</v>
      </c>
      <c r="CN99" s="257" t="s">
        <v>493</v>
      </c>
      <c r="CO99" s="256">
        <v>9915</v>
      </c>
      <c r="CP99" s="256">
        <v>682</v>
      </c>
      <c r="CQ99" s="256">
        <v>220</v>
      </c>
      <c r="CR99" s="256">
        <v>937</v>
      </c>
    </row>
    <row r="100" spans="91:96" ht="12.75">
      <c r="CM100" s="256">
        <v>398</v>
      </c>
      <c r="CN100" s="257" t="s">
        <v>494</v>
      </c>
      <c r="CO100" s="256">
        <v>681200</v>
      </c>
      <c r="CP100" s="256">
        <v>64350</v>
      </c>
      <c r="CQ100" s="256">
        <v>43130</v>
      </c>
      <c r="CR100" s="256">
        <v>107500</v>
      </c>
    </row>
    <row r="101" spans="91:96" ht="12.75">
      <c r="CM101" s="256">
        <v>404</v>
      </c>
      <c r="CN101" s="257" t="s">
        <v>495</v>
      </c>
      <c r="CO101" s="256">
        <v>365600</v>
      </c>
      <c r="CP101" s="256">
        <v>20700</v>
      </c>
      <c r="CQ101" s="256">
        <v>10000</v>
      </c>
      <c r="CR101" s="256">
        <v>30700</v>
      </c>
    </row>
    <row r="102" spans="91:96" ht="12.75">
      <c r="CM102" s="256">
        <v>296</v>
      </c>
      <c r="CN102" s="257" t="s">
        <v>179</v>
      </c>
      <c r="CO102" s="256">
        <v>0</v>
      </c>
      <c r="CP102" s="256">
        <v>0</v>
      </c>
      <c r="CQ102" s="256">
        <v>0</v>
      </c>
      <c r="CR102" s="256">
        <v>0</v>
      </c>
    </row>
    <row r="103" spans="91:96" ht="12.75">
      <c r="CM103" s="256">
        <v>414</v>
      </c>
      <c r="CN103" s="257" t="s">
        <v>496</v>
      </c>
      <c r="CO103" s="256">
        <v>2156</v>
      </c>
      <c r="CP103" s="256">
        <v>0</v>
      </c>
      <c r="CQ103" s="256">
        <v>20</v>
      </c>
      <c r="CR103" s="256">
        <v>20</v>
      </c>
    </row>
    <row r="104" spans="91:96" ht="12.75">
      <c r="CM104" s="256">
        <v>417</v>
      </c>
      <c r="CN104" s="257" t="s">
        <v>497</v>
      </c>
      <c r="CO104" s="256">
        <v>106600</v>
      </c>
      <c r="CP104" s="256">
        <v>48930</v>
      </c>
      <c r="CQ104" s="256">
        <v>558</v>
      </c>
      <c r="CR104" s="256">
        <v>23620</v>
      </c>
    </row>
    <row r="105" spans="91:96" ht="22.5">
      <c r="CM105" s="256">
        <v>418</v>
      </c>
      <c r="CN105" s="257" t="s">
        <v>180</v>
      </c>
      <c r="CO105" s="256">
        <v>434300</v>
      </c>
      <c r="CP105" s="256">
        <v>190400</v>
      </c>
      <c r="CQ105" s="256">
        <v>143100</v>
      </c>
      <c r="CR105" s="256">
        <v>333500</v>
      </c>
    </row>
    <row r="106" spans="91:96" ht="12.75">
      <c r="CM106" s="256">
        <v>428</v>
      </c>
      <c r="CN106" s="257" t="s">
        <v>498</v>
      </c>
      <c r="CO106" s="256">
        <v>41330</v>
      </c>
      <c r="CP106" s="256">
        <v>16740</v>
      </c>
      <c r="CQ106" s="256">
        <v>18710</v>
      </c>
      <c r="CR106" s="256">
        <v>35450</v>
      </c>
    </row>
    <row r="107" spans="91:96" ht="12.75">
      <c r="CM107" s="256">
        <v>422</v>
      </c>
      <c r="CN107" s="257" t="s">
        <v>499</v>
      </c>
      <c r="CO107" s="256">
        <v>6907</v>
      </c>
      <c r="CP107" s="256">
        <v>4800</v>
      </c>
      <c r="CQ107" s="256">
        <v>0</v>
      </c>
      <c r="CR107" s="256">
        <v>4503</v>
      </c>
    </row>
    <row r="108" spans="91:96" ht="12.75">
      <c r="CM108" s="256">
        <v>426</v>
      </c>
      <c r="CN108" s="257" t="s">
        <v>500</v>
      </c>
      <c r="CO108" s="256">
        <v>23920</v>
      </c>
      <c r="CP108" s="256">
        <v>5230</v>
      </c>
      <c r="CQ108" s="256">
        <v>0</v>
      </c>
      <c r="CR108" s="256">
        <v>3022</v>
      </c>
    </row>
    <row r="109" spans="91:96" ht="12.75">
      <c r="CM109" s="256">
        <v>430</v>
      </c>
      <c r="CN109" s="257" t="s">
        <v>501</v>
      </c>
      <c r="CO109" s="256">
        <v>266300</v>
      </c>
      <c r="CP109" s="256">
        <v>200000</v>
      </c>
      <c r="CQ109" s="256">
        <v>32000</v>
      </c>
      <c r="CR109" s="256">
        <v>232000</v>
      </c>
    </row>
    <row r="110" spans="91:96" ht="12.75">
      <c r="CM110" s="256">
        <v>434</v>
      </c>
      <c r="CN110" s="257" t="s">
        <v>181</v>
      </c>
      <c r="CO110" s="256">
        <v>98530</v>
      </c>
      <c r="CP110" s="256">
        <v>700</v>
      </c>
      <c r="CQ110" s="256">
        <v>0</v>
      </c>
      <c r="CR110" s="256">
        <v>700</v>
      </c>
    </row>
    <row r="111" spans="91:96" ht="12.75">
      <c r="CM111" s="256">
        <v>438</v>
      </c>
      <c r="CN111" s="257" t="s">
        <v>182</v>
      </c>
      <c r="CO111" s="256">
        <v>0</v>
      </c>
      <c r="CP111" s="256">
        <v>0</v>
      </c>
      <c r="CQ111" s="256">
        <v>0</v>
      </c>
      <c r="CR111" s="256">
        <v>0</v>
      </c>
    </row>
    <row r="112" spans="91:96" ht="12.75">
      <c r="CM112" s="256">
        <v>440</v>
      </c>
      <c r="CN112" s="257" t="s">
        <v>502</v>
      </c>
      <c r="CO112" s="256">
        <v>42840</v>
      </c>
      <c r="CP112" s="256">
        <v>15560</v>
      </c>
      <c r="CQ112" s="256">
        <v>9340</v>
      </c>
      <c r="CR112" s="256">
        <v>24900</v>
      </c>
    </row>
    <row r="113" spans="91:96" ht="12.75">
      <c r="CM113" s="256">
        <v>442</v>
      </c>
      <c r="CN113" s="257" t="s">
        <v>503</v>
      </c>
      <c r="CO113" s="256">
        <v>2419</v>
      </c>
      <c r="CP113" s="256">
        <v>1000</v>
      </c>
      <c r="CQ113" s="256">
        <v>0</v>
      </c>
      <c r="CR113" s="256">
        <v>3100</v>
      </c>
    </row>
    <row r="114" spans="91:96" ht="12.75">
      <c r="CM114" s="256">
        <v>450</v>
      </c>
      <c r="CN114" s="257" t="s">
        <v>504</v>
      </c>
      <c r="CO114" s="256">
        <v>888200</v>
      </c>
      <c r="CP114" s="256">
        <v>337000</v>
      </c>
      <c r="CQ114" s="256">
        <v>0</v>
      </c>
      <c r="CR114" s="256">
        <v>337000</v>
      </c>
    </row>
    <row r="115" spans="91:96" ht="12.75">
      <c r="CM115" s="256">
        <v>454</v>
      </c>
      <c r="CN115" s="257" t="s">
        <v>505</v>
      </c>
      <c r="CO115" s="256">
        <v>139900</v>
      </c>
      <c r="CP115" s="256">
        <v>16140</v>
      </c>
      <c r="CQ115" s="256">
        <v>1000</v>
      </c>
      <c r="CR115" s="256">
        <v>17280</v>
      </c>
    </row>
    <row r="116" spans="91:96" ht="12.75">
      <c r="CM116" s="256">
        <v>458</v>
      </c>
      <c r="CN116" s="257" t="s">
        <v>506</v>
      </c>
      <c r="CO116" s="256">
        <v>951000</v>
      </c>
      <c r="CP116" s="256">
        <v>580000</v>
      </c>
      <c r="CQ116" s="256">
        <v>0</v>
      </c>
      <c r="CR116" s="256">
        <v>580000</v>
      </c>
    </row>
    <row r="117" spans="91:96" ht="12.75">
      <c r="CM117" s="256">
        <v>462</v>
      </c>
      <c r="CN117" s="257" t="s">
        <v>507</v>
      </c>
      <c r="CO117" s="256">
        <v>591.6</v>
      </c>
      <c r="CP117" s="256">
        <v>30</v>
      </c>
      <c r="CQ117" s="256">
        <v>0</v>
      </c>
      <c r="CR117" s="256">
        <v>30</v>
      </c>
    </row>
    <row r="118" spans="91:96" ht="12.75">
      <c r="CM118" s="256">
        <v>466</v>
      </c>
      <c r="CN118" s="257" t="s">
        <v>508</v>
      </c>
      <c r="CO118" s="256">
        <v>349700</v>
      </c>
      <c r="CP118" s="256">
        <v>60000</v>
      </c>
      <c r="CQ118" s="256">
        <v>40000</v>
      </c>
      <c r="CR118" s="256">
        <v>100000</v>
      </c>
    </row>
    <row r="119" spans="91:96" ht="12.75">
      <c r="CM119" s="256">
        <v>470</v>
      </c>
      <c r="CN119" s="257" t="s">
        <v>509</v>
      </c>
      <c r="CO119" s="256">
        <v>179.2</v>
      </c>
      <c r="CP119" s="256">
        <v>50.5</v>
      </c>
      <c r="CQ119" s="256">
        <v>0</v>
      </c>
      <c r="CR119" s="256">
        <v>50.5</v>
      </c>
    </row>
    <row r="120" spans="91:96" ht="12.75">
      <c r="CM120" s="256">
        <v>584</v>
      </c>
      <c r="CN120" s="257" t="s">
        <v>183</v>
      </c>
      <c r="CO120" s="256">
        <v>0</v>
      </c>
      <c r="CP120" s="256">
        <v>0</v>
      </c>
      <c r="CQ120" s="256">
        <v>0</v>
      </c>
      <c r="CR120" s="256">
        <v>0</v>
      </c>
    </row>
    <row r="121" spans="91:96" ht="12.75">
      <c r="CM121" s="256">
        <v>474</v>
      </c>
      <c r="CN121" s="257" t="s">
        <v>510</v>
      </c>
      <c r="CO121" s="256"/>
      <c r="CP121" s="256"/>
      <c r="CQ121" s="256"/>
      <c r="CR121" s="256"/>
    </row>
    <row r="122" spans="91:96" ht="12.75">
      <c r="CM122" s="256">
        <v>478</v>
      </c>
      <c r="CN122" s="257" t="s">
        <v>511</v>
      </c>
      <c r="CO122" s="256">
        <v>94820</v>
      </c>
      <c r="CP122" s="256">
        <v>400</v>
      </c>
      <c r="CQ122" s="256">
        <v>0</v>
      </c>
      <c r="CR122" s="256">
        <v>11400</v>
      </c>
    </row>
    <row r="123" spans="91:96" ht="12.75">
      <c r="CM123" s="256">
        <v>480</v>
      </c>
      <c r="CN123" s="257" t="s">
        <v>512</v>
      </c>
      <c r="CO123" s="256">
        <v>4164</v>
      </c>
      <c r="CP123" s="256">
        <v>2751</v>
      </c>
      <c r="CQ123" s="256">
        <v>0</v>
      </c>
      <c r="CR123" s="256">
        <v>2751</v>
      </c>
    </row>
    <row r="124" spans="91:96" ht="12.75">
      <c r="CM124" s="256">
        <v>484</v>
      </c>
      <c r="CN124" s="257" t="s">
        <v>513</v>
      </c>
      <c r="CO124" s="256">
        <v>1477000</v>
      </c>
      <c r="CP124" s="256">
        <v>409000</v>
      </c>
      <c r="CQ124" s="256">
        <v>48220</v>
      </c>
      <c r="CR124" s="256">
        <v>457200</v>
      </c>
    </row>
    <row r="125" spans="91:98" ht="22.5">
      <c r="CM125" s="256">
        <v>583</v>
      </c>
      <c r="CN125" s="257" t="s">
        <v>184</v>
      </c>
      <c r="CO125" s="256">
        <v>0</v>
      </c>
      <c r="CP125" s="256">
        <v>0</v>
      </c>
      <c r="CQ125" s="256">
        <v>0</v>
      </c>
      <c r="CR125" s="256">
        <v>0</v>
      </c>
      <c r="CS125" s="220"/>
      <c r="CT125" s="220"/>
    </row>
    <row r="126" spans="91:98" ht="12.75">
      <c r="CM126" s="256">
        <v>492</v>
      </c>
      <c r="CN126" s="257" t="s">
        <v>185</v>
      </c>
      <c r="CO126" s="256">
        <v>0</v>
      </c>
      <c r="CP126" s="256">
        <v>0</v>
      </c>
      <c r="CQ126" s="256">
        <v>0</v>
      </c>
      <c r="CR126" s="256">
        <v>0</v>
      </c>
      <c r="CS126" s="220"/>
      <c r="CT126" s="220"/>
    </row>
    <row r="127" spans="91:98" ht="12.75">
      <c r="CM127" s="256">
        <v>496</v>
      </c>
      <c r="CN127" s="257" t="s">
        <v>514</v>
      </c>
      <c r="CO127" s="256">
        <v>377000</v>
      </c>
      <c r="CP127" s="256">
        <v>34800</v>
      </c>
      <c r="CQ127" s="256">
        <v>0</v>
      </c>
      <c r="CR127" s="256">
        <v>34800</v>
      </c>
      <c r="CS127" s="220"/>
      <c r="CT127" s="220"/>
    </row>
    <row r="128" spans="91:98" ht="12.75">
      <c r="CM128" s="256">
        <v>499</v>
      </c>
      <c r="CN128" s="257" t="s">
        <v>186</v>
      </c>
      <c r="CO128" s="256">
        <v>0</v>
      </c>
      <c r="CP128" s="256">
        <v>0</v>
      </c>
      <c r="CQ128" s="256">
        <v>0</v>
      </c>
      <c r="CR128" s="256">
        <v>0</v>
      </c>
      <c r="CS128" s="220"/>
      <c r="CT128" s="220"/>
    </row>
    <row r="129" spans="91:98" ht="12.75">
      <c r="CM129" s="256">
        <v>504</v>
      </c>
      <c r="CN129" s="257" t="s">
        <v>515</v>
      </c>
      <c r="CO129" s="256">
        <v>154500</v>
      </c>
      <c r="CP129" s="256">
        <v>29000</v>
      </c>
      <c r="CQ129" s="256">
        <v>0</v>
      </c>
      <c r="CR129" s="256">
        <v>29000</v>
      </c>
      <c r="CS129" s="220"/>
      <c r="CT129" s="220"/>
    </row>
    <row r="130" spans="91:98" ht="12.75">
      <c r="CM130" s="256">
        <v>508</v>
      </c>
      <c r="CN130" s="257" t="s">
        <v>516</v>
      </c>
      <c r="CO130" s="256">
        <v>825000</v>
      </c>
      <c r="CP130" s="256">
        <v>100300</v>
      </c>
      <c r="CQ130" s="256">
        <v>116800</v>
      </c>
      <c r="CR130" s="256">
        <v>217100</v>
      </c>
      <c r="CS130" s="220"/>
      <c r="CT130" s="220"/>
    </row>
    <row r="131" spans="91:98" ht="12.75">
      <c r="CM131" s="256">
        <v>104</v>
      </c>
      <c r="CN131" s="257" t="s">
        <v>517</v>
      </c>
      <c r="CO131" s="256">
        <v>1415000</v>
      </c>
      <c r="CP131" s="256">
        <v>1003000</v>
      </c>
      <c r="CQ131" s="256">
        <v>128200</v>
      </c>
      <c r="CR131" s="256">
        <v>1168000</v>
      </c>
      <c r="CS131" s="220"/>
      <c r="CT131" s="220"/>
    </row>
    <row r="132" spans="91:98" ht="12.75">
      <c r="CM132" s="256">
        <v>516</v>
      </c>
      <c r="CN132" s="257" t="s">
        <v>518</v>
      </c>
      <c r="CO132" s="256">
        <v>234900</v>
      </c>
      <c r="CP132" s="256">
        <v>6160</v>
      </c>
      <c r="CQ132" s="256">
        <v>11300</v>
      </c>
      <c r="CR132" s="256">
        <v>17720</v>
      </c>
      <c r="CS132" s="220"/>
      <c r="CT132" s="220"/>
    </row>
    <row r="133" spans="91:98" ht="12.75">
      <c r="CM133" s="256">
        <v>520</v>
      </c>
      <c r="CN133" s="257" t="s">
        <v>187</v>
      </c>
      <c r="CO133" s="256">
        <v>0</v>
      </c>
      <c r="CP133" s="256">
        <v>0</v>
      </c>
      <c r="CQ133" s="256">
        <v>0</v>
      </c>
      <c r="CR133" s="256">
        <v>0</v>
      </c>
      <c r="CS133" s="220"/>
      <c r="CT133" s="220"/>
    </row>
    <row r="134" spans="91:98" ht="12.75">
      <c r="CM134" s="256">
        <v>524</v>
      </c>
      <c r="CN134" s="257" t="s">
        <v>519</v>
      </c>
      <c r="CO134" s="256">
        <v>220800</v>
      </c>
      <c r="CP134" s="256">
        <v>198200</v>
      </c>
      <c r="CQ134" s="256">
        <v>12000</v>
      </c>
      <c r="CR134" s="256">
        <v>210200</v>
      </c>
      <c r="CS134" s="220"/>
      <c r="CT134" s="220"/>
    </row>
    <row r="135" spans="91:98" ht="12.75">
      <c r="CM135" s="256">
        <v>528</v>
      </c>
      <c r="CN135" s="257" t="s">
        <v>520</v>
      </c>
      <c r="CO135" s="256">
        <v>32320</v>
      </c>
      <c r="CP135" s="256">
        <v>11000</v>
      </c>
      <c r="CQ135" s="256">
        <v>80000</v>
      </c>
      <c r="CR135" s="256">
        <v>91000</v>
      </c>
      <c r="CS135" s="220"/>
      <c r="CT135" s="220"/>
    </row>
    <row r="136" spans="91:98" ht="12.75">
      <c r="CM136" s="256">
        <v>540</v>
      </c>
      <c r="CN136" s="257" t="s">
        <v>521</v>
      </c>
      <c r="CO136" s="256"/>
      <c r="CP136" s="256"/>
      <c r="CQ136" s="256"/>
      <c r="CR136" s="256"/>
      <c r="CS136" s="220"/>
      <c r="CT136" s="220"/>
    </row>
    <row r="137" spans="91:98" ht="12.75">
      <c r="CM137" s="256">
        <v>554</v>
      </c>
      <c r="CN137" s="257" t="s">
        <v>522</v>
      </c>
      <c r="CO137" s="256">
        <v>463700</v>
      </c>
      <c r="CP137" s="256">
        <v>327000</v>
      </c>
      <c r="CQ137" s="256">
        <v>0</v>
      </c>
      <c r="CR137" s="256">
        <v>327000</v>
      </c>
      <c r="CS137" s="220"/>
      <c r="CT137" s="220"/>
    </row>
    <row r="138" spans="91:96" ht="12.75">
      <c r="CM138" s="256">
        <v>558</v>
      </c>
      <c r="CN138" s="257" t="s">
        <v>523</v>
      </c>
      <c r="CO138" s="256">
        <v>311700</v>
      </c>
      <c r="CP138" s="256">
        <v>189700</v>
      </c>
      <c r="CQ138" s="256">
        <v>6950</v>
      </c>
      <c r="CR138" s="256">
        <v>196600</v>
      </c>
    </row>
    <row r="139" spans="91:96" ht="12.75">
      <c r="CM139" s="256">
        <v>562</v>
      </c>
      <c r="CN139" s="257" t="s">
        <v>524</v>
      </c>
      <c r="CO139" s="256">
        <v>191300</v>
      </c>
      <c r="CP139" s="256">
        <v>3500</v>
      </c>
      <c r="CQ139" s="256">
        <v>29000</v>
      </c>
      <c r="CR139" s="256">
        <v>33650</v>
      </c>
    </row>
    <row r="140" spans="91:96" ht="12.75">
      <c r="CM140" s="256">
        <v>566</v>
      </c>
      <c r="CN140" s="257" t="s">
        <v>525</v>
      </c>
      <c r="CO140" s="256">
        <v>1062000</v>
      </c>
      <c r="CP140" s="256">
        <v>221000</v>
      </c>
      <c r="CQ140" s="256">
        <v>65200</v>
      </c>
      <c r="CR140" s="256">
        <v>286200</v>
      </c>
    </row>
    <row r="141" spans="91:96" ht="12.75">
      <c r="CM141" s="256">
        <v>578</v>
      </c>
      <c r="CN141" s="257" t="s">
        <v>526</v>
      </c>
      <c r="CO141" s="256">
        <v>457800</v>
      </c>
      <c r="CP141" s="256">
        <v>382000</v>
      </c>
      <c r="CQ141" s="256">
        <v>0</v>
      </c>
      <c r="CR141" s="256">
        <v>382000</v>
      </c>
    </row>
    <row r="142" spans="91:96" ht="22.5">
      <c r="CM142" s="256">
        <v>275</v>
      </c>
      <c r="CN142" s="257" t="s">
        <v>527</v>
      </c>
      <c r="CO142" s="256">
        <v>2420</v>
      </c>
      <c r="CP142" s="256">
        <v>812</v>
      </c>
      <c r="CQ142" s="256">
        <v>25</v>
      </c>
      <c r="CR142" s="256">
        <v>837</v>
      </c>
    </row>
    <row r="143" spans="91:96" ht="12.75">
      <c r="CM143" s="256">
        <v>512</v>
      </c>
      <c r="CN143" s="257" t="s">
        <v>528</v>
      </c>
      <c r="CO143" s="256">
        <v>38690</v>
      </c>
      <c r="CP143" s="256">
        <v>1400</v>
      </c>
      <c r="CQ143" s="256">
        <v>0</v>
      </c>
      <c r="CR143" s="256">
        <v>1400</v>
      </c>
    </row>
    <row r="144" spans="91:96" ht="12.75">
      <c r="CM144" s="256">
        <v>586</v>
      </c>
      <c r="CN144" s="257" t="s">
        <v>529</v>
      </c>
      <c r="CO144" s="256">
        <v>393300</v>
      </c>
      <c r="CP144" s="256">
        <v>55000</v>
      </c>
      <c r="CQ144" s="256">
        <v>191800</v>
      </c>
      <c r="CR144" s="256">
        <v>246800</v>
      </c>
    </row>
    <row r="145" spans="91:96" ht="12.75">
      <c r="CM145" s="256">
        <v>585</v>
      </c>
      <c r="CN145" s="257" t="s">
        <v>188</v>
      </c>
      <c r="CO145" s="256">
        <v>0</v>
      </c>
      <c r="CP145" s="256">
        <v>0</v>
      </c>
      <c r="CQ145" s="256">
        <v>0</v>
      </c>
      <c r="CR145" s="256">
        <v>0</v>
      </c>
    </row>
    <row r="146" spans="91:96" ht="12.75">
      <c r="CM146" s="256">
        <v>591</v>
      </c>
      <c r="CN146" s="257" t="s">
        <v>530</v>
      </c>
      <c r="CO146" s="256">
        <v>203000</v>
      </c>
      <c r="CP146" s="256">
        <v>147400</v>
      </c>
      <c r="CQ146" s="256">
        <v>560</v>
      </c>
      <c r="CR146" s="256">
        <v>148000</v>
      </c>
    </row>
    <row r="147" spans="91:96" ht="12.75">
      <c r="CM147" s="256">
        <v>598</v>
      </c>
      <c r="CN147" s="257" t="s">
        <v>531</v>
      </c>
      <c r="CO147" s="256">
        <v>1454000</v>
      </c>
      <c r="CP147" s="256">
        <v>801000</v>
      </c>
      <c r="CQ147" s="256">
        <v>0</v>
      </c>
      <c r="CR147" s="256">
        <v>801000</v>
      </c>
    </row>
    <row r="148" spans="91:96" ht="12.75">
      <c r="CM148" s="256">
        <v>600</v>
      </c>
      <c r="CN148" s="257" t="s">
        <v>532</v>
      </c>
      <c r="CO148" s="256">
        <v>459600</v>
      </c>
      <c r="CP148" s="256">
        <v>94000</v>
      </c>
      <c r="CQ148" s="256">
        <v>69000</v>
      </c>
      <c r="CR148" s="256">
        <v>336000</v>
      </c>
    </row>
    <row r="149" spans="91:96" ht="12.75">
      <c r="CM149" s="256">
        <v>604</v>
      </c>
      <c r="CN149" s="257" t="s">
        <v>533</v>
      </c>
      <c r="CO149" s="256">
        <v>2234000</v>
      </c>
      <c r="CP149" s="256">
        <v>1616000</v>
      </c>
      <c r="CQ149" s="256">
        <v>133000</v>
      </c>
      <c r="CR149" s="256">
        <v>1913000</v>
      </c>
    </row>
    <row r="150" spans="91:96" ht="12.75">
      <c r="CM150" s="256">
        <v>608</v>
      </c>
      <c r="CN150" s="257" t="s">
        <v>534</v>
      </c>
      <c r="CO150" s="256">
        <v>704400</v>
      </c>
      <c r="CP150" s="256">
        <v>479000</v>
      </c>
      <c r="CQ150" s="256">
        <v>0</v>
      </c>
      <c r="CR150" s="256">
        <v>479000</v>
      </c>
    </row>
    <row r="151" spans="91:96" ht="12.75">
      <c r="CM151" s="256">
        <v>616</v>
      </c>
      <c r="CN151" s="257" t="s">
        <v>535</v>
      </c>
      <c r="CO151" s="256">
        <v>187600</v>
      </c>
      <c r="CP151" s="256">
        <v>53600</v>
      </c>
      <c r="CQ151" s="256">
        <v>8000</v>
      </c>
      <c r="CR151" s="256">
        <v>61600</v>
      </c>
    </row>
    <row r="152" spans="91:96" ht="12.75">
      <c r="CM152" s="256">
        <v>620</v>
      </c>
      <c r="CN152" s="257" t="s">
        <v>536</v>
      </c>
      <c r="CO152" s="256">
        <v>78640</v>
      </c>
      <c r="CP152" s="256">
        <v>38000</v>
      </c>
      <c r="CQ152" s="256">
        <v>24700</v>
      </c>
      <c r="CR152" s="256">
        <v>68700</v>
      </c>
    </row>
    <row r="153" spans="91:96" ht="25.5" customHeight="1">
      <c r="CM153" s="256">
        <v>630</v>
      </c>
      <c r="CN153" s="257" t="s">
        <v>537</v>
      </c>
      <c r="CO153" s="256">
        <v>18220</v>
      </c>
      <c r="CP153" s="256">
        <v>7100</v>
      </c>
      <c r="CQ153" s="256">
        <v>0</v>
      </c>
      <c r="CR153" s="256">
        <v>7100</v>
      </c>
    </row>
    <row r="154" spans="91:96" ht="12.75">
      <c r="CM154" s="256">
        <v>634</v>
      </c>
      <c r="CN154" s="257" t="s">
        <v>538</v>
      </c>
      <c r="CO154" s="256">
        <v>859.1</v>
      </c>
      <c r="CP154" s="256">
        <v>56</v>
      </c>
      <c r="CQ154" s="256">
        <v>2</v>
      </c>
      <c r="CR154" s="256">
        <v>58</v>
      </c>
    </row>
    <row r="155" spans="91:96" ht="12.75">
      <c r="CM155" s="350">
        <v>410</v>
      </c>
      <c r="CN155" s="257" t="s">
        <v>189</v>
      </c>
      <c r="CO155" s="256">
        <v>127300</v>
      </c>
      <c r="CP155" s="256">
        <v>64850</v>
      </c>
      <c r="CQ155" s="256">
        <v>4850</v>
      </c>
      <c r="CR155" s="256">
        <v>69700</v>
      </c>
    </row>
    <row r="156" spans="91:96" ht="12.75">
      <c r="CM156" s="256">
        <v>498</v>
      </c>
      <c r="CN156" s="257" t="s">
        <v>539</v>
      </c>
      <c r="CO156" s="256">
        <v>15230</v>
      </c>
      <c r="CP156" s="256">
        <v>1000</v>
      </c>
      <c r="CQ156" s="256">
        <v>9200</v>
      </c>
      <c r="CR156" s="256">
        <v>11650</v>
      </c>
    </row>
    <row r="157" spans="91:96" ht="12.75">
      <c r="CM157" s="256">
        <v>638</v>
      </c>
      <c r="CN157" s="257" t="s">
        <v>540</v>
      </c>
      <c r="CO157" s="256"/>
      <c r="CP157" s="256"/>
      <c r="CQ157" s="256"/>
      <c r="CR157" s="256"/>
    </row>
    <row r="158" spans="91:96" ht="12.75">
      <c r="CM158" s="256">
        <v>642</v>
      </c>
      <c r="CN158" s="257" t="s">
        <v>541</v>
      </c>
      <c r="CO158" s="256">
        <v>151900</v>
      </c>
      <c r="CP158" s="256">
        <v>42300</v>
      </c>
      <c r="CQ158" s="256">
        <v>168180</v>
      </c>
      <c r="CR158" s="256">
        <v>211900</v>
      </c>
    </row>
    <row r="159" spans="91:96" ht="12.75">
      <c r="CM159" s="256">
        <v>643</v>
      </c>
      <c r="CN159" s="257" t="s">
        <v>550</v>
      </c>
      <c r="CO159" s="256">
        <v>7865000</v>
      </c>
      <c r="CP159" s="256">
        <v>4313000</v>
      </c>
      <c r="CQ159" s="256">
        <v>185600</v>
      </c>
      <c r="CR159" s="256">
        <v>4508000</v>
      </c>
    </row>
    <row r="160" spans="91:96" ht="12.75">
      <c r="CM160" s="256">
        <v>646</v>
      </c>
      <c r="CN160" s="257" t="s">
        <v>551</v>
      </c>
      <c r="CO160" s="256">
        <v>31920</v>
      </c>
      <c r="CP160" s="256">
        <v>9500</v>
      </c>
      <c r="CQ160" s="256">
        <v>0</v>
      </c>
      <c r="CR160" s="256">
        <v>9500</v>
      </c>
    </row>
    <row r="161" spans="91:96" ht="12.75">
      <c r="CM161" s="256">
        <v>654</v>
      </c>
      <c r="CN161" s="257" t="s">
        <v>552</v>
      </c>
      <c r="CO161" s="256"/>
      <c r="CP161" s="256"/>
      <c r="CQ161" s="256"/>
      <c r="CR161" s="256"/>
    </row>
    <row r="162" spans="91:96" ht="12.75">
      <c r="CM162" s="256">
        <v>659</v>
      </c>
      <c r="CN162" s="257" t="s">
        <v>553</v>
      </c>
      <c r="CO162" s="256">
        <v>371</v>
      </c>
      <c r="CP162" s="256">
        <v>24</v>
      </c>
      <c r="CQ162" s="256">
        <v>0</v>
      </c>
      <c r="CR162" s="256">
        <v>24</v>
      </c>
    </row>
    <row r="163" spans="91:96" ht="12.75">
      <c r="CM163" s="256">
        <v>662</v>
      </c>
      <c r="CN163" s="257" t="s">
        <v>554</v>
      </c>
      <c r="CO163" s="256">
        <v>1427</v>
      </c>
      <c r="CP163" s="256">
        <v>0</v>
      </c>
      <c r="CQ163" s="256">
        <v>0</v>
      </c>
      <c r="CR163" s="256">
        <v>0</v>
      </c>
    </row>
    <row r="164" spans="91:96" ht="22.5">
      <c r="CM164" s="350">
        <v>670</v>
      </c>
      <c r="CN164" s="257" t="s">
        <v>190</v>
      </c>
      <c r="CO164" s="256">
        <v>617.4</v>
      </c>
      <c r="CP164" s="256">
        <v>0</v>
      </c>
      <c r="CQ164" s="256">
        <v>0</v>
      </c>
      <c r="CR164" s="256">
        <v>0</v>
      </c>
    </row>
    <row r="165" spans="91:96" ht="12.75">
      <c r="CM165" s="256">
        <v>882</v>
      </c>
      <c r="CN165" s="257" t="s">
        <v>555</v>
      </c>
      <c r="CO165" s="256">
        <v>0</v>
      </c>
      <c r="CP165" s="256">
        <v>0</v>
      </c>
      <c r="CQ165" s="256">
        <v>0</v>
      </c>
      <c r="CR165" s="256">
        <v>0</v>
      </c>
    </row>
    <row r="166" spans="91:96" ht="12.75">
      <c r="CM166" s="256">
        <v>674</v>
      </c>
      <c r="CN166" s="257" t="s">
        <v>191</v>
      </c>
      <c r="CO166" s="256">
        <v>0</v>
      </c>
      <c r="CP166" s="256">
        <v>0</v>
      </c>
      <c r="CQ166" s="256">
        <v>0</v>
      </c>
      <c r="CR166" s="256">
        <v>0</v>
      </c>
    </row>
    <row r="167" spans="91:96" ht="22.5">
      <c r="CM167" s="256">
        <v>678</v>
      </c>
      <c r="CN167" s="257" t="s">
        <v>559</v>
      </c>
      <c r="CO167" s="256">
        <v>3072</v>
      </c>
      <c r="CP167" s="256">
        <v>2180</v>
      </c>
      <c r="CQ167" s="256">
        <v>0</v>
      </c>
      <c r="CR167" s="256">
        <v>2180</v>
      </c>
    </row>
    <row r="168" spans="91:96" ht="12.75">
      <c r="CM168" s="256">
        <v>682</v>
      </c>
      <c r="CN168" s="257" t="s">
        <v>560</v>
      </c>
      <c r="CO168" s="256">
        <v>126800</v>
      </c>
      <c r="CP168" s="256">
        <v>2400</v>
      </c>
      <c r="CQ168" s="256">
        <v>0</v>
      </c>
      <c r="CR168" s="256">
        <v>2400</v>
      </c>
    </row>
    <row r="169" spans="91:96" ht="12.75">
      <c r="CM169" s="256">
        <v>686</v>
      </c>
      <c r="CN169" s="257" t="s">
        <v>561</v>
      </c>
      <c r="CO169" s="256">
        <v>134900</v>
      </c>
      <c r="CP169" s="256">
        <v>25800</v>
      </c>
      <c r="CQ169" s="256">
        <v>2000</v>
      </c>
      <c r="CR169" s="256">
        <v>38800</v>
      </c>
    </row>
    <row r="170" spans="91:96" ht="12.75">
      <c r="CM170" s="256">
        <v>891</v>
      </c>
      <c r="CN170" s="257" t="s">
        <v>192</v>
      </c>
      <c r="CO170" s="256">
        <v>49980</v>
      </c>
      <c r="CP170" s="256">
        <v>8407</v>
      </c>
      <c r="CQ170" s="256">
        <v>0</v>
      </c>
      <c r="CR170" s="256">
        <v>162200</v>
      </c>
    </row>
    <row r="171" spans="91:96" ht="12.75">
      <c r="CM171" s="256">
        <v>690</v>
      </c>
      <c r="CN171" s="257" t="s">
        <v>562</v>
      </c>
      <c r="CO171" s="256">
        <v>1072</v>
      </c>
      <c r="CP171" s="256">
        <v>0</v>
      </c>
      <c r="CQ171" s="256">
        <v>0</v>
      </c>
      <c r="CR171" s="256">
        <v>0</v>
      </c>
    </row>
    <row r="172" spans="91:96" ht="12.75">
      <c r="CM172" s="256">
        <v>694</v>
      </c>
      <c r="CN172" s="257" t="s">
        <v>563</v>
      </c>
      <c r="CO172" s="256">
        <v>181200</v>
      </c>
      <c r="CP172" s="256">
        <v>160000</v>
      </c>
      <c r="CQ172" s="256">
        <v>0</v>
      </c>
      <c r="CR172" s="256">
        <v>160000</v>
      </c>
    </row>
    <row r="173" spans="91:96" ht="12.75">
      <c r="CM173" s="256">
        <v>702</v>
      </c>
      <c r="CN173" s="257" t="s">
        <v>564</v>
      </c>
      <c r="CO173" s="256">
        <v>1773</v>
      </c>
      <c r="CP173" s="256">
        <v>600</v>
      </c>
      <c r="CQ173" s="256">
        <v>0</v>
      </c>
      <c r="CR173" s="256">
        <v>600</v>
      </c>
    </row>
    <row r="174" spans="91:96" ht="12.75">
      <c r="CM174" s="256">
        <v>703</v>
      </c>
      <c r="CN174" s="257" t="s">
        <v>565</v>
      </c>
      <c r="CO174" s="256">
        <v>40410</v>
      </c>
      <c r="CP174" s="256">
        <v>12600</v>
      </c>
      <c r="CQ174" s="256">
        <v>0</v>
      </c>
      <c r="CR174" s="256">
        <v>50100</v>
      </c>
    </row>
    <row r="175" spans="91:96" ht="12.75">
      <c r="CM175" s="256">
        <v>705</v>
      </c>
      <c r="CN175" s="257" t="s">
        <v>566</v>
      </c>
      <c r="CO175" s="256">
        <v>23550</v>
      </c>
      <c r="CP175" s="256">
        <v>18670</v>
      </c>
      <c r="CQ175" s="256">
        <v>13200</v>
      </c>
      <c r="CR175" s="256">
        <v>31870</v>
      </c>
    </row>
    <row r="176" spans="91:96" ht="25.5" customHeight="1">
      <c r="CM176" s="256">
        <v>90</v>
      </c>
      <c r="CN176" s="257" t="s">
        <v>567</v>
      </c>
      <c r="CO176" s="256">
        <v>87510</v>
      </c>
      <c r="CP176" s="256">
        <v>44700</v>
      </c>
      <c r="CQ176" s="256">
        <v>0</v>
      </c>
      <c r="CR176" s="256">
        <v>44700</v>
      </c>
    </row>
    <row r="177" spans="91:96" ht="12.75">
      <c r="CM177" s="256">
        <v>706</v>
      </c>
      <c r="CN177" s="257" t="s">
        <v>568</v>
      </c>
      <c r="CO177" s="256">
        <v>179800</v>
      </c>
      <c r="CP177" s="256">
        <v>6000</v>
      </c>
      <c r="CQ177" s="256">
        <v>8700</v>
      </c>
      <c r="CR177" s="256">
        <v>14700</v>
      </c>
    </row>
    <row r="178" spans="91:96" ht="12.75">
      <c r="CM178" s="256">
        <v>710</v>
      </c>
      <c r="CN178" s="257" t="s">
        <v>569</v>
      </c>
      <c r="CO178" s="256">
        <v>603400</v>
      </c>
      <c r="CP178" s="256">
        <v>44800</v>
      </c>
      <c r="CQ178" s="256">
        <v>6600</v>
      </c>
      <c r="CR178" s="256">
        <v>51400</v>
      </c>
    </row>
    <row r="179" spans="91:96" ht="38.25" customHeight="1">
      <c r="CM179" s="256">
        <v>724</v>
      </c>
      <c r="CN179" s="257" t="s">
        <v>570</v>
      </c>
      <c r="CO179" s="256">
        <v>321600</v>
      </c>
      <c r="CP179" s="256">
        <v>111200</v>
      </c>
      <c r="CQ179" s="256">
        <v>300</v>
      </c>
      <c r="CR179" s="256">
        <v>111500</v>
      </c>
    </row>
    <row r="180" spans="91:96" ht="12.75">
      <c r="CM180" s="256">
        <v>144</v>
      </c>
      <c r="CN180" s="257" t="s">
        <v>571</v>
      </c>
      <c r="CO180" s="256">
        <v>112300</v>
      </c>
      <c r="CP180" s="256">
        <v>52800</v>
      </c>
      <c r="CQ180" s="256">
        <v>0</v>
      </c>
      <c r="CR180" s="256">
        <v>52800</v>
      </c>
    </row>
    <row r="181" spans="91:96" ht="22.5">
      <c r="CM181" s="256">
        <v>736</v>
      </c>
      <c r="CN181" s="257" t="s">
        <v>193</v>
      </c>
      <c r="CO181" s="256">
        <v>1050000</v>
      </c>
      <c r="CP181" s="256">
        <v>30000</v>
      </c>
      <c r="CQ181" s="256">
        <v>100000</v>
      </c>
      <c r="CR181" s="256">
        <v>64500</v>
      </c>
    </row>
    <row r="182" spans="91:96" ht="12.75">
      <c r="CM182" s="256">
        <v>740</v>
      </c>
      <c r="CN182" s="257" t="s">
        <v>572</v>
      </c>
      <c r="CO182" s="256">
        <v>381900</v>
      </c>
      <c r="CP182" s="256">
        <v>88000</v>
      </c>
      <c r="CQ182" s="256">
        <v>0</v>
      </c>
      <c r="CR182" s="256">
        <v>122000</v>
      </c>
    </row>
    <row r="183" spans="91:96" ht="12.75">
      <c r="CM183" s="256">
        <v>748</v>
      </c>
      <c r="CN183" s="257" t="s">
        <v>573</v>
      </c>
      <c r="CO183" s="256">
        <v>13680</v>
      </c>
      <c r="CP183" s="256">
        <v>2640</v>
      </c>
      <c r="CQ183" s="256">
        <v>1870</v>
      </c>
      <c r="CR183" s="256">
        <v>4510</v>
      </c>
    </row>
    <row r="184" spans="91:96" ht="12.75">
      <c r="CM184" s="256">
        <v>752</v>
      </c>
      <c r="CN184" s="257" t="s">
        <v>574</v>
      </c>
      <c r="CO184" s="256">
        <v>281000</v>
      </c>
      <c r="CP184" s="256">
        <v>171000</v>
      </c>
      <c r="CQ184" s="256">
        <v>3000</v>
      </c>
      <c r="CR184" s="256">
        <v>174000</v>
      </c>
    </row>
    <row r="185" spans="91:96" ht="12.75">
      <c r="CM185" s="256">
        <v>756</v>
      </c>
      <c r="CN185" s="257" t="s">
        <v>575</v>
      </c>
      <c r="CO185" s="256">
        <v>63450</v>
      </c>
      <c r="CP185" s="256">
        <v>40400</v>
      </c>
      <c r="CQ185" s="256">
        <v>13100</v>
      </c>
      <c r="CR185" s="256">
        <v>53500</v>
      </c>
    </row>
    <row r="186" spans="91:96" ht="12.75">
      <c r="CM186" s="256">
        <v>760</v>
      </c>
      <c r="CN186" s="257" t="s">
        <v>586</v>
      </c>
      <c r="CO186" s="256">
        <v>46670</v>
      </c>
      <c r="CP186" s="256">
        <v>7132</v>
      </c>
      <c r="CQ186" s="256">
        <v>17420</v>
      </c>
      <c r="CR186" s="256">
        <v>16800</v>
      </c>
    </row>
    <row r="187" spans="91:96" ht="12.75">
      <c r="CM187" s="256">
        <v>762</v>
      </c>
      <c r="CN187" s="257" t="s">
        <v>587</v>
      </c>
      <c r="CO187" s="256">
        <v>98500</v>
      </c>
      <c r="CP187" s="256">
        <v>63460</v>
      </c>
      <c r="CQ187" s="256">
        <v>13310</v>
      </c>
      <c r="CR187" s="256">
        <v>21910</v>
      </c>
    </row>
    <row r="188" spans="91:96" ht="12.75">
      <c r="CM188" s="256">
        <v>764</v>
      </c>
      <c r="CN188" s="257" t="s">
        <v>588</v>
      </c>
      <c r="CO188" s="256">
        <v>832300</v>
      </c>
      <c r="CP188" s="256">
        <v>224500</v>
      </c>
      <c r="CQ188" s="256">
        <v>0</v>
      </c>
      <c r="CR188" s="256">
        <v>438600</v>
      </c>
    </row>
    <row r="189" spans="91:96" ht="33.75">
      <c r="CM189" s="256">
        <v>807</v>
      </c>
      <c r="CN189" s="257" t="s">
        <v>194</v>
      </c>
      <c r="CO189" s="256">
        <v>15910</v>
      </c>
      <c r="CP189" s="256">
        <v>5400</v>
      </c>
      <c r="CQ189" s="256">
        <v>1000</v>
      </c>
      <c r="CR189" s="256">
        <v>6400</v>
      </c>
    </row>
    <row r="190" spans="91:96" ht="12.75">
      <c r="CM190" s="256">
        <v>626</v>
      </c>
      <c r="CN190" s="257" t="s">
        <v>195</v>
      </c>
      <c r="CO190" s="256">
        <v>22300</v>
      </c>
      <c r="CP190" s="256">
        <v>8215</v>
      </c>
      <c r="CQ190" s="256">
        <v>0</v>
      </c>
      <c r="CR190" s="256">
        <v>8215</v>
      </c>
    </row>
    <row r="191" spans="91:96" ht="12.75">
      <c r="CM191" s="256">
        <v>768</v>
      </c>
      <c r="CN191" s="257" t="s">
        <v>589</v>
      </c>
      <c r="CO191" s="256">
        <v>66330</v>
      </c>
      <c r="CP191" s="256">
        <v>11500</v>
      </c>
      <c r="CQ191" s="256">
        <v>3200</v>
      </c>
      <c r="CR191" s="256">
        <v>14700</v>
      </c>
    </row>
    <row r="192" spans="91:96" ht="12.75">
      <c r="CM192" s="256">
        <v>776</v>
      </c>
      <c r="CN192" s="257" t="s">
        <v>591</v>
      </c>
      <c r="CO192" s="256">
        <v>0</v>
      </c>
      <c r="CP192" s="256">
        <v>0</v>
      </c>
      <c r="CQ192" s="256">
        <v>0</v>
      </c>
      <c r="CR192" s="256">
        <v>0</v>
      </c>
    </row>
    <row r="193" spans="91:96" ht="12.75">
      <c r="CM193" s="256">
        <v>780</v>
      </c>
      <c r="CN193" s="257" t="s">
        <v>592</v>
      </c>
      <c r="CO193" s="256">
        <v>11290</v>
      </c>
      <c r="CP193" s="256">
        <v>3840</v>
      </c>
      <c r="CQ193" s="256">
        <v>0</v>
      </c>
      <c r="CR193" s="256">
        <v>3840</v>
      </c>
    </row>
    <row r="194" spans="91:96" ht="12.75">
      <c r="CM194" s="256">
        <v>788</v>
      </c>
      <c r="CN194" s="257" t="s">
        <v>593</v>
      </c>
      <c r="CO194" s="256">
        <v>33870</v>
      </c>
      <c r="CP194" s="256">
        <v>4195</v>
      </c>
      <c r="CQ194" s="256">
        <v>400</v>
      </c>
      <c r="CR194" s="256">
        <v>4595</v>
      </c>
    </row>
    <row r="195" spans="91:96" ht="12.75">
      <c r="CM195" s="256">
        <v>792</v>
      </c>
      <c r="CN195" s="257" t="s">
        <v>594</v>
      </c>
      <c r="CO195" s="256">
        <v>464700</v>
      </c>
      <c r="CP195" s="256">
        <v>227000</v>
      </c>
      <c r="CQ195" s="256">
        <v>600</v>
      </c>
      <c r="CR195" s="256">
        <v>211600</v>
      </c>
    </row>
    <row r="196" spans="91:96" ht="12.75">
      <c r="CM196" s="256">
        <v>795</v>
      </c>
      <c r="CN196" s="257" t="s">
        <v>595</v>
      </c>
      <c r="CO196" s="256">
        <v>78580</v>
      </c>
      <c r="CP196" s="256">
        <v>1405</v>
      </c>
      <c r="CQ196" s="256">
        <v>45360</v>
      </c>
      <c r="CR196" s="256">
        <v>24770</v>
      </c>
    </row>
    <row r="197" spans="91:96" ht="12.75">
      <c r="CM197" s="256">
        <v>798</v>
      </c>
      <c r="CN197" s="257" t="s">
        <v>196</v>
      </c>
      <c r="CO197" s="256">
        <v>0</v>
      </c>
      <c r="CP197" s="256">
        <v>0</v>
      </c>
      <c r="CQ197" s="256">
        <v>0</v>
      </c>
      <c r="CR197" s="256">
        <v>0</v>
      </c>
    </row>
    <row r="198" spans="91:96" ht="12.75">
      <c r="CM198" s="256">
        <v>800</v>
      </c>
      <c r="CN198" s="257" t="s">
        <v>596</v>
      </c>
      <c r="CO198" s="256">
        <v>285000</v>
      </c>
      <c r="CP198" s="256">
        <v>39000</v>
      </c>
      <c r="CQ198" s="256">
        <v>27000</v>
      </c>
      <c r="CR198" s="256">
        <v>66000</v>
      </c>
    </row>
    <row r="199" spans="91:96" ht="12.75">
      <c r="CM199" s="256">
        <v>804</v>
      </c>
      <c r="CN199" s="257" t="s">
        <v>597</v>
      </c>
      <c r="CO199" s="256">
        <v>1132000</v>
      </c>
      <c r="CP199" s="256">
        <v>53100</v>
      </c>
      <c r="CQ199" s="256">
        <v>28150</v>
      </c>
      <c r="CR199" s="256">
        <v>139600</v>
      </c>
    </row>
    <row r="200" spans="91:96" ht="12.75">
      <c r="CM200" s="256">
        <v>784</v>
      </c>
      <c r="CN200" s="257" t="s">
        <v>598</v>
      </c>
      <c r="CO200" s="256">
        <v>6521</v>
      </c>
      <c r="CP200" s="256">
        <v>150</v>
      </c>
      <c r="CQ200" s="256">
        <v>0</v>
      </c>
      <c r="CR200" s="256">
        <v>150</v>
      </c>
    </row>
    <row r="201" spans="91:96" ht="12.75">
      <c r="CM201" s="256">
        <v>826</v>
      </c>
      <c r="CN201" s="257" t="s">
        <v>599</v>
      </c>
      <c r="CO201" s="256">
        <v>297200</v>
      </c>
      <c r="CP201" s="256">
        <v>145000</v>
      </c>
      <c r="CQ201" s="256">
        <v>2000</v>
      </c>
      <c r="CR201" s="256">
        <v>147000</v>
      </c>
    </row>
    <row r="202" spans="91:96" ht="22.5">
      <c r="CM202" s="256">
        <v>834</v>
      </c>
      <c r="CN202" s="257" t="s">
        <v>197</v>
      </c>
      <c r="CO202" s="256">
        <v>1015000</v>
      </c>
      <c r="CP202" s="256">
        <v>84000</v>
      </c>
      <c r="CQ202" s="256">
        <v>12270</v>
      </c>
      <c r="CR202" s="256">
        <v>96270</v>
      </c>
    </row>
    <row r="203" spans="91:96" ht="22.5">
      <c r="CM203" s="256">
        <v>840</v>
      </c>
      <c r="CN203" s="257" t="s">
        <v>198</v>
      </c>
      <c r="CO203" s="256">
        <v>7030000</v>
      </c>
      <c r="CP203" s="256">
        <v>2818000</v>
      </c>
      <c r="CQ203" s="256">
        <v>251000</v>
      </c>
      <c r="CR203" s="256">
        <v>3069000</v>
      </c>
    </row>
    <row r="204" spans="91:96" ht="12.75">
      <c r="CM204" s="256">
        <v>858</v>
      </c>
      <c r="CN204" s="257" t="s">
        <v>601</v>
      </c>
      <c r="CO204" s="256">
        <v>222900</v>
      </c>
      <c r="CP204" s="256">
        <v>59000</v>
      </c>
      <c r="CQ204" s="256">
        <v>0</v>
      </c>
      <c r="CR204" s="256">
        <v>139000</v>
      </c>
    </row>
    <row r="205" spans="91:96" ht="12.75">
      <c r="CM205" s="256">
        <v>860</v>
      </c>
      <c r="CN205" s="257" t="s">
        <v>602</v>
      </c>
      <c r="CO205" s="256">
        <v>92160</v>
      </c>
      <c r="CP205" s="256">
        <v>16340</v>
      </c>
      <c r="CQ205" s="256">
        <v>65650</v>
      </c>
      <c r="CR205" s="256">
        <v>48870</v>
      </c>
    </row>
    <row r="206" spans="91:96" ht="12.75">
      <c r="CM206" s="256">
        <v>548</v>
      </c>
      <c r="CN206" s="257" t="s">
        <v>199</v>
      </c>
      <c r="CO206" s="256">
        <v>0</v>
      </c>
      <c r="CP206" s="256">
        <v>0</v>
      </c>
      <c r="CQ206" s="256">
        <v>0</v>
      </c>
      <c r="CR206" s="256">
        <v>0</v>
      </c>
    </row>
    <row r="207" spans="91:96" ht="22.5" customHeight="1">
      <c r="CM207" s="256">
        <v>862</v>
      </c>
      <c r="CN207" s="257" t="s">
        <v>200</v>
      </c>
      <c r="CO207" s="256">
        <v>1710000</v>
      </c>
      <c r="CP207" s="256">
        <v>722400</v>
      </c>
      <c r="CQ207" s="256">
        <v>510700</v>
      </c>
      <c r="CR207" s="256">
        <v>1233000</v>
      </c>
    </row>
    <row r="208" spans="91:96" ht="12.75">
      <c r="CM208" s="256">
        <v>704</v>
      </c>
      <c r="CN208" s="257" t="s">
        <v>603</v>
      </c>
      <c r="CO208" s="256">
        <v>602700</v>
      </c>
      <c r="CP208" s="256">
        <v>359400</v>
      </c>
      <c r="CQ208" s="256">
        <v>524700</v>
      </c>
      <c r="CR208" s="256">
        <v>884100</v>
      </c>
    </row>
    <row r="209" spans="91:96" ht="12.75">
      <c r="CM209" s="256">
        <v>887</v>
      </c>
      <c r="CN209" s="257" t="s">
        <v>604</v>
      </c>
      <c r="CO209" s="256">
        <v>88170</v>
      </c>
      <c r="CP209" s="256">
        <v>2100</v>
      </c>
      <c r="CQ209" s="256">
        <v>0</v>
      </c>
      <c r="CR209" s="256">
        <v>2100</v>
      </c>
    </row>
    <row r="210" spans="91:96" ht="12.75">
      <c r="CM210" s="256">
        <v>894</v>
      </c>
      <c r="CN210" s="257" t="s">
        <v>605</v>
      </c>
      <c r="CO210" s="256">
        <v>767700</v>
      </c>
      <c r="CP210" s="256">
        <v>80200</v>
      </c>
      <c r="CQ210" s="256">
        <v>25000</v>
      </c>
      <c r="CR210" s="256">
        <v>105200</v>
      </c>
    </row>
    <row r="211" spans="91:96" ht="12.75">
      <c r="CM211" s="256">
        <v>716</v>
      </c>
      <c r="CN211" s="257" t="s">
        <v>606</v>
      </c>
      <c r="CO211" s="256">
        <v>256700</v>
      </c>
      <c r="CP211" s="256">
        <v>12260</v>
      </c>
      <c r="CQ211" s="256">
        <v>0</v>
      </c>
      <c r="CR211" s="256">
        <v>20000</v>
      </c>
    </row>
  </sheetData>
  <sheetProtection sheet="1" formatCells="0" formatColumns="0" formatRows="0" insertColumns="0" insertRows="0" insertHyperlinks="0"/>
  <mergeCells count="42">
    <mergeCell ref="AE30:AH30"/>
    <mergeCell ref="D38:AT38"/>
    <mergeCell ref="D39:AT39"/>
    <mergeCell ref="D40:AT40"/>
    <mergeCell ref="D41:AT41"/>
    <mergeCell ref="D46:AT46"/>
    <mergeCell ref="D47:AT47"/>
    <mergeCell ref="D48:AT48"/>
    <mergeCell ref="D49:AT49"/>
    <mergeCell ref="D42:AT42"/>
    <mergeCell ref="D43:AT43"/>
    <mergeCell ref="D44:AT44"/>
    <mergeCell ref="D45:AT45"/>
    <mergeCell ref="C58:AI59"/>
    <mergeCell ref="D54:AT54"/>
    <mergeCell ref="D55:AT55"/>
    <mergeCell ref="D56:AT56"/>
    <mergeCell ref="D57:AT57"/>
    <mergeCell ref="D50:AT50"/>
    <mergeCell ref="D51:AT51"/>
    <mergeCell ref="D52:AT52"/>
    <mergeCell ref="D53:AT53"/>
    <mergeCell ref="CM5:CR5"/>
    <mergeCell ref="C5:AN5"/>
    <mergeCell ref="D37:AT37"/>
    <mergeCell ref="D20:AT20"/>
    <mergeCell ref="D21:AT21"/>
    <mergeCell ref="D35:AT35"/>
    <mergeCell ref="D24:AT24"/>
    <mergeCell ref="V31:Y31"/>
    <mergeCell ref="AE31:AH31"/>
    <mergeCell ref="AN29:AS29"/>
    <mergeCell ref="C4:AT4"/>
    <mergeCell ref="D22:AT22"/>
    <mergeCell ref="D36:AT36"/>
    <mergeCell ref="D23:AT23"/>
    <mergeCell ref="V26:Y26"/>
    <mergeCell ref="AD26:AH26"/>
    <mergeCell ref="X28:AF28"/>
    <mergeCell ref="V6:AD6"/>
    <mergeCell ref="AN31:AS31"/>
    <mergeCell ref="V30:Y30"/>
  </mergeCells>
  <conditionalFormatting sqref="H10">
    <cfRule type="cellIs" priority="58" dxfId="227" operator="lessThan" stopIfTrue="1">
      <formula>H8-H9</formula>
    </cfRule>
  </conditionalFormatting>
  <conditionalFormatting sqref="H12">
    <cfRule type="cellIs" priority="59" dxfId="227" operator="lessThan" stopIfTrue="1">
      <formula>H10+H11</formula>
    </cfRule>
  </conditionalFormatting>
  <conditionalFormatting sqref="H13">
    <cfRule type="cellIs" priority="60" dxfId="227" operator="lessThan" stopIfTrue="1">
      <formula>H14+H15</formula>
    </cfRule>
  </conditionalFormatting>
  <conditionalFormatting sqref="AY32 AY35 AY38 AY29">
    <cfRule type="cellIs" priority="61" dxfId="227" operator="greaterThan" stopIfTrue="1">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priority="62" dxfId="227" operator="equal" stopIfTrue="1">
      <formula>"&lt;&gt;"</formula>
    </cfRule>
  </conditionalFormatting>
  <conditionalFormatting sqref="CK8:CK16 BE8:BE16 BG8:BG16 BI8:BI16 BK8:BK16 BM8:BM16 BO8:BO16 BQ8:BQ16 BS8:BS16 BU8:BU16 BW8:BW16 BY8:BY16 CA8:CA16 CC8:CC16 CE8:CE16 CG8:CG16 BC8:BC16 CI8:CI16">
    <cfRule type="cellIs" priority="63" dxfId="227" operator="equal" stopIfTrue="1">
      <formula>"&gt; 25%"</formula>
    </cfRule>
  </conditionalFormatting>
  <conditionalFormatting sqref="J10">
    <cfRule type="cellIs" priority="55" dxfId="227" operator="lessThan" stopIfTrue="1">
      <formula>J8-J9</formula>
    </cfRule>
  </conditionalFormatting>
  <conditionalFormatting sqref="J12">
    <cfRule type="cellIs" priority="56" dxfId="227" operator="lessThan" stopIfTrue="1">
      <formula>J10+J11</formula>
    </cfRule>
  </conditionalFormatting>
  <conditionalFormatting sqref="J13">
    <cfRule type="cellIs" priority="57" dxfId="227" operator="lessThan" stopIfTrue="1">
      <formula>J14+J15</formula>
    </cfRule>
  </conditionalFormatting>
  <conditionalFormatting sqref="L10">
    <cfRule type="cellIs" priority="52" dxfId="227" operator="lessThan" stopIfTrue="1">
      <formula>L8-L9</formula>
    </cfRule>
  </conditionalFormatting>
  <conditionalFormatting sqref="L12">
    <cfRule type="cellIs" priority="53" dxfId="227" operator="lessThan" stopIfTrue="1">
      <formula>L10+L11</formula>
    </cfRule>
  </conditionalFormatting>
  <conditionalFormatting sqref="L13">
    <cfRule type="cellIs" priority="54" dxfId="227" operator="lessThan" stopIfTrue="1">
      <formula>L14+L15</formula>
    </cfRule>
  </conditionalFormatting>
  <conditionalFormatting sqref="N10">
    <cfRule type="cellIs" priority="49" dxfId="227" operator="lessThan" stopIfTrue="1">
      <formula>N8-N9</formula>
    </cfRule>
  </conditionalFormatting>
  <conditionalFormatting sqref="N12">
    <cfRule type="cellIs" priority="50" dxfId="227" operator="lessThan" stopIfTrue="1">
      <formula>N10+N11</formula>
    </cfRule>
  </conditionalFormatting>
  <conditionalFormatting sqref="N13">
    <cfRule type="cellIs" priority="51" dxfId="227" operator="lessThan" stopIfTrue="1">
      <formula>N14+N15</formula>
    </cfRule>
  </conditionalFormatting>
  <conditionalFormatting sqref="P10">
    <cfRule type="cellIs" priority="46" dxfId="227" operator="lessThan" stopIfTrue="1">
      <formula>P8-P9</formula>
    </cfRule>
  </conditionalFormatting>
  <conditionalFormatting sqref="P12">
    <cfRule type="cellIs" priority="47" dxfId="227" operator="lessThan" stopIfTrue="1">
      <formula>P10+P11</formula>
    </cfRule>
  </conditionalFormatting>
  <conditionalFormatting sqref="P13">
    <cfRule type="cellIs" priority="48" dxfId="227" operator="lessThan" stopIfTrue="1">
      <formula>P14+P15</formula>
    </cfRule>
  </conditionalFormatting>
  <conditionalFormatting sqref="R10">
    <cfRule type="cellIs" priority="43" dxfId="227" operator="lessThan" stopIfTrue="1">
      <formula>R8-R9</formula>
    </cfRule>
  </conditionalFormatting>
  <conditionalFormatting sqref="R12">
    <cfRule type="cellIs" priority="44" dxfId="227" operator="lessThan" stopIfTrue="1">
      <formula>R10+R11</formula>
    </cfRule>
  </conditionalFormatting>
  <conditionalFormatting sqref="R13">
    <cfRule type="cellIs" priority="45" dxfId="227" operator="lessThan" stopIfTrue="1">
      <formula>R14+R15</formula>
    </cfRule>
  </conditionalFormatting>
  <conditionalFormatting sqref="T10">
    <cfRule type="cellIs" priority="40" dxfId="227" operator="lessThan" stopIfTrue="1">
      <formula>T8-T9</formula>
    </cfRule>
  </conditionalFormatting>
  <conditionalFormatting sqref="T12">
    <cfRule type="cellIs" priority="41" dxfId="227" operator="lessThan" stopIfTrue="1">
      <formula>T10+T11</formula>
    </cfRule>
  </conditionalFormatting>
  <conditionalFormatting sqref="T13">
    <cfRule type="cellIs" priority="42" dxfId="227" operator="lessThan" stopIfTrue="1">
      <formula>T14+T15</formula>
    </cfRule>
  </conditionalFormatting>
  <conditionalFormatting sqref="V10">
    <cfRule type="cellIs" priority="37" dxfId="227" operator="lessThan" stopIfTrue="1">
      <formula>V8-V9</formula>
    </cfRule>
  </conditionalFormatting>
  <conditionalFormatting sqref="V12">
    <cfRule type="cellIs" priority="38" dxfId="227" operator="lessThan" stopIfTrue="1">
      <formula>V10+V11</formula>
    </cfRule>
  </conditionalFormatting>
  <conditionalFormatting sqref="V13">
    <cfRule type="cellIs" priority="39" dxfId="227" operator="lessThan" stopIfTrue="1">
      <formula>V14+V15</formula>
    </cfRule>
  </conditionalFormatting>
  <conditionalFormatting sqref="X10">
    <cfRule type="cellIs" priority="34" dxfId="227" operator="lessThan" stopIfTrue="1">
      <formula>X8-X9</formula>
    </cfRule>
  </conditionalFormatting>
  <conditionalFormatting sqref="X12">
    <cfRule type="cellIs" priority="35" dxfId="227" operator="lessThan" stopIfTrue="1">
      <formula>X10+X11</formula>
    </cfRule>
  </conditionalFormatting>
  <conditionalFormatting sqref="X13">
    <cfRule type="cellIs" priority="36" dxfId="227" operator="lessThan" stopIfTrue="1">
      <formula>X14+X15</formula>
    </cfRule>
  </conditionalFormatting>
  <conditionalFormatting sqref="Z10">
    <cfRule type="cellIs" priority="31" dxfId="227" operator="lessThan" stopIfTrue="1">
      <formula>Z8-Z9</formula>
    </cfRule>
  </conditionalFormatting>
  <conditionalFormatting sqref="Z12">
    <cfRule type="cellIs" priority="32" dxfId="227" operator="lessThan" stopIfTrue="1">
      <formula>Z10+Z11</formula>
    </cfRule>
  </conditionalFormatting>
  <conditionalFormatting sqref="Z13">
    <cfRule type="cellIs" priority="33" dxfId="227" operator="lessThan" stopIfTrue="1">
      <formula>Z14+Z15</formula>
    </cfRule>
  </conditionalFormatting>
  <conditionalFormatting sqref="AB10">
    <cfRule type="cellIs" priority="28" dxfId="227" operator="lessThan" stopIfTrue="1">
      <formula>AB8-AB9</formula>
    </cfRule>
  </conditionalFormatting>
  <conditionalFormatting sqref="AB12">
    <cfRule type="cellIs" priority="29" dxfId="227" operator="lessThan" stopIfTrue="1">
      <formula>AB10+AB11</formula>
    </cfRule>
  </conditionalFormatting>
  <conditionalFormatting sqref="AB13">
    <cfRule type="cellIs" priority="30" dxfId="227" operator="lessThan" stopIfTrue="1">
      <formula>AB14+AB15</formula>
    </cfRule>
  </conditionalFormatting>
  <conditionalFormatting sqref="AD10">
    <cfRule type="cellIs" priority="25" dxfId="227" operator="lessThan" stopIfTrue="1">
      <formula>AD8-AD9</formula>
    </cfRule>
  </conditionalFormatting>
  <conditionalFormatting sqref="AD12">
    <cfRule type="cellIs" priority="26" dxfId="227" operator="lessThan" stopIfTrue="1">
      <formula>AD10+AD11</formula>
    </cfRule>
  </conditionalFormatting>
  <conditionalFormatting sqref="AD13">
    <cfRule type="cellIs" priority="27" dxfId="227" operator="lessThan" stopIfTrue="1">
      <formula>AD14+AD15</formula>
    </cfRule>
  </conditionalFormatting>
  <conditionalFormatting sqref="AF10">
    <cfRule type="cellIs" priority="22" dxfId="227" operator="lessThan" stopIfTrue="1">
      <formula>AF8-AF9</formula>
    </cfRule>
  </conditionalFormatting>
  <conditionalFormatting sqref="AF12">
    <cfRule type="cellIs" priority="23" dxfId="227" operator="lessThan" stopIfTrue="1">
      <formula>AF10+AF11</formula>
    </cfRule>
  </conditionalFormatting>
  <conditionalFormatting sqref="AF13">
    <cfRule type="cellIs" priority="24" dxfId="227" operator="lessThan" stopIfTrue="1">
      <formula>AF14+AF15</formula>
    </cfRule>
  </conditionalFormatting>
  <conditionalFormatting sqref="AH10">
    <cfRule type="cellIs" priority="19" dxfId="227" operator="lessThan" stopIfTrue="1">
      <formula>AH8-AH9</formula>
    </cfRule>
  </conditionalFormatting>
  <conditionalFormatting sqref="AH12">
    <cfRule type="cellIs" priority="20" dxfId="227" operator="lessThan" stopIfTrue="1">
      <formula>AH10+AH11</formula>
    </cfRule>
  </conditionalFormatting>
  <conditionalFormatting sqref="AH13">
    <cfRule type="cellIs" priority="21" dxfId="227" operator="lessThan" stopIfTrue="1">
      <formula>AH14+AH15</formula>
    </cfRule>
  </conditionalFormatting>
  <conditionalFormatting sqref="AJ10">
    <cfRule type="cellIs" priority="16" dxfId="227" operator="lessThan" stopIfTrue="1">
      <formula>AJ8-AJ9</formula>
    </cfRule>
  </conditionalFormatting>
  <conditionalFormatting sqref="AJ12">
    <cfRule type="cellIs" priority="17" dxfId="227" operator="lessThan" stopIfTrue="1">
      <formula>AJ10+AJ11</formula>
    </cfRule>
  </conditionalFormatting>
  <conditionalFormatting sqref="AJ13">
    <cfRule type="cellIs" priority="18" dxfId="227" operator="lessThan" stopIfTrue="1">
      <formula>AJ14+AJ15</formula>
    </cfRule>
  </conditionalFormatting>
  <conditionalFormatting sqref="AL10">
    <cfRule type="cellIs" priority="13" dxfId="227" operator="lessThan" stopIfTrue="1">
      <formula>AL8-AL9</formula>
    </cfRule>
  </conditionalFormatting>
  <conditionalFormatting sqref="AL12">
    <cfRule type="cellIs" priority="14" dxfId="227" operator="lessThan" stopIfTrue="1">
      <formula>AL10+AL11</formula>
    </cfRule>
  </conditionalFormatting>
  <conditionalFormatting sqref="AL13">
    <cfRule type="cellIs" priority="15" dxfId="227" operator="lessThan" stopIfTrue="1">
      <formula>AL14+AL15</formula>
    </cfRule>
  </conditionalFormatting>
  <conditionalFormatting sqref="AN10">
    <cfRule type="cellIs" priority="10" dxfId="227" operator="lessThan" stopIfTrue="1">
      <formula>AN8-AN9</formula>
    </cfRule>
  </conditionalFormatting>
  <conditionalFormatting sqref="AN12">
    <cfRule type="cellIs" priority="11" dxfId="227" operator="lessThan" stopIfTrue="1">
      <formula>AN10+AN11</formula>
    </cfRule>
  </conditionalFormatting>
  <conditionalFormatting sqref="AN13">
    <cfRule type="cellIs" priority="12" dxfId="227" operator="lessThan" stopIfTrue="1">
      <formula>AN14+AN15</formula>
    </cfRule>
  </conditionalFormatting>
  <conditionalFormatting sqref="AP10">
    <cfRule type="cellIs" priority="7" dxfId="227" operator="lessThan" stopIfTrue="1">
      <formula>AP8-AP9</formula>
    </cfRule>
  </conditionalFormatting>
  <conditionalFormatting sqref="AP12">
    <cfRule type="cellIs" priority="8" dxfId="227" operator="lessThan" stopIfTrue="1">
      <formula>AP10+AP11</formula>
    </cfRule>
  </conditionalFormatting>
  <conditionalFormatting sqref="AP13">
    <cfRule type="cellIs" priority="9" dxfId="227" operator="lessThan" stopIfTrue="1">
      <formula>AP14+AP15</formula>
    </cfRule>
  </conditionalFormatting>
  <conditionalFormatting sqref="AR10">
    <cfRule type="cellIs" priority="4" dxfId="227" operator="lessThan" stopIfTrue="1">
      <formula>AR8-AR9</formula>
    </cfRule>
  </conditionalFormatting>
  <conditionalFormatting sqref="AR12">
    <cfRule type="cellIs" priority="5" dxfId="227" operator="lessThan" stopIfTrue="1">
      <formula>AR10+AR11</formula>
    </cfRule>
  </conditionalFormatting>
  <conditionalFormatting sqref="AR13">
    <cfRule type="cellIs" priority="6" dxfId="227" operator="lessThan" stopIfTrue="1">
      <formula>AR14+AR15</formula>
    </cfRule>
  </conditionalFormatting>
  <conditionalFormatting sqref="F10">
    <cfRule type="cellIs" priority="1" dxfId="227" operator="lessThan" stopIfTrue="1">
      <formula>F8-F9</formula>
    </cfRule>
  </conditionalFormatting>
  <conditionalFormatting sqref="F12">
    <cfRule type="cellIs" priority="2" dxfId="227" operator="lessThan" stopIfTrue="1">
      <formula>F10+F11</formula>
    </cfRule>
  </conditionalFormatting>
  <conditionalFormatting sqref="F13">
    <cfRule type="cellIs" priority="3" dxfId="227" operator="lessThan" stopIfTrue="1">
      <formula>F14+F15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4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CV95"/>
  <sheetViews>
    <sheetView showGridLines="0" view="pageBreakPreview" zoomScale="85" zoomScaleNormal="83" zoomScaleSheetLayoutView="85" workbookViewId="0" topLeftCell="C1">
      <selection activeCell="T8" sqref="T8"/>
    </sheetView>
  </sheetViews>
  <sheetFormatPr defaultColWidth="9.33203125" defaultRowHeight="12.75"/>
  <cols>
    <col min="1" max="1" width="8" style="230" hidden="1" customWidth="1"/>
    <col min="2" max="2" width="8.83203125" style="199" hidden="1" customWidth="1"/>
    <col min="3" max="3" width="12.16015625" style="235" customWidth="1"/>
    <col min="4" max="4" width="47.5" style="235" customWidth="1"/>
    <col min="5" max="5" width="9.5" style="235" customWidth="1"/>
    <col min="6" max="6" width="9.16015625" style="235" hidden="1" customWidth="1"/>
    <col min="7" max="7" width="1.83203125" style="239" hidden="1" customWidth="1"/>
    <col min="8" max="8" width="7" style="240" hidden="1" customWidth="1"/>
    <col min="9" max="9" width="1.83203125" style="241" hidden="1" customWidth="1"/>
    <col min="10" max="10" width="7" style="240" hidden="1" customWidth="1"/>
    <col min="11" max="11" width="1.83203125" style="241" hidden="1" customWidth="1"/>
    <col min="12" max="12" width="7" style="240" hidden="1" customWidth="1"/>
    <col min="13" max="13" width="1.83203125" style="241" hidden="1" customWidth="1"/>
    <col min="14" max="14" width="7" style="240" hidden="1" customWidth="1"/>
    <col min="15" max="15" width="1.83203125" style="241" hidden="1" customWidth="1"/>
    <col min="16" max="16" width="7" style="240" hidden="1" customWidth="1"/>
    <col min="17" max="17" width="1.83203125" style="239" hidden="1" customWidth="1"/>
    <col min="18" max="18" width="7" style="240" hidden="1" customWidth="1"/>
    <col min="19" max="19" width="1.83203125" style="239" hidden="1" customWidth="1"/>
    <col min="20" max="20" width="7" style="240" customWidth="1"/>
    <col min="21" max="21" width="1.83203125" style="239"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41"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39" customWidth="1"/>
    <col min="36" max="36" width="7" style="239" customWidth="1"/>
    <col min="37" max="37" width="2" style="239" customWidth="1"/>
    <col min="38" max="38" width="7" style="239" customWidth="1"/>
    <col min="39" max="39" width="1.83203125" style="239" customWidth="1"/>
    <col min="40" max="40" width="7" style="240" customWidth="1"/>
    <col min="41" max="41" width="1.83203125" style="235" customWidth="1"/>
    <col min="42" max="42" width="7" style="240" customWidth="1"/>
    <col min="43" max="43" width="1.83203125" style="235" customWidth="1"/>
    <col min="44" max="44" width="3" style="235" customWidth="1"/>
    <col min="45" max="45" width="4.5" style="233" customWidth="1"/>
    <col min="46" max="46" width="7.66015625" style="233" customWidth="1"/>
    <col min="47" max="47" width="41.33203125" style="233" customWidth="1"/>
    <col min="48" max="48" width="9.33203125" style="233" customWidth="1"/>
    <col min="49" max="49" width="9.5" style="233" bestFit="1" customWidth="1"/>
    <col min="50" max="50" width="1.83203125" style="233" customWidth="1"/>
    <col min="51" max="51" width="9.5" style="233" bestFit="1" customWidth="1"/>
    <col min="52" max="52" width="1.83203125" style="233" customWidth="1"/>
    <col min="53" max="53" width="11.5" style="233" bestFit="1" customWidth="1"/>
    <col min="54" max="54" width="1.83203125" style="233" customWidth="1"/>
    <col min="55" max="55" width="9.5" style="233" bestFit="1" customWidth="1"/>
    <col min="56" max="56" width="1.83203125" style="233" customWidth="1"/>
    <col min="57" max="57" width="9.5" style="233" bestFit="1" customWidth="1"/>
    <col min="58" max="58" width="1.83203125" style="233" customWidth="1"/>
    <col min="59" max="59" width="9.5" style="233" bestFit="1" customWidth="1"/>
    <col min="60" max="60" width="1.83203125" style="233" customWidth="1"/>
    <col min="61" max="61" width="9.33203125" style="233" customWidth="1"/>
    <col min="62" max="62" width="1.83203125" style="233" customWidth="1"/>
    <col min="63" max="63" width="9.33203125" style="233" customWidth="1"/>
    <col min="64" max="64" width="1.83203125" style="233" customWidth="1"/>
    <col min="65" max="65" width="9.33203125" style="233" customWidth="1"/>
    <col min="66" max="66" width="1.83203125" style="233" customWidth="1"/>
    <col min="67" max="67" width="9.33203125" style="233" customWidth="1"/>
    <col min="68" max="68" width="1.83203125" style="233" customWidth="1"/>
    <col min="69" max="69" width="9.33203125" style="233" customWidth="1"/>
    <col min="70" max="70" width="1.83203125" style="233" customWidth="1"/>
    <col min="71" max="71" width="9.33203125" style="233" customWidth="1"/>
    <col min="72" max="72" width="1.83203125" style="233" customWidth="1"/>
    <col min="73" max="73" width="9.33203125" style="233" customWidth="1"/>
    <col min="74" max="74" width="1.83203125" style="233" customWidth="1"/>
    <col min="75" max="75" width="9.33203125" style="233" customWidth="1"/>
    <col min="76" max="76" width="1.83203125" style="233" customWidth="1"/>
    <col min="77" max="77" width="9.33203125" style="233" customWidth="1"/>
    <col min="78" max="78" width="1.83203125" style="233" customWidth="1"/>
    <col min="79" max="79" width="9.33203125" style="233" customWidth="1"/>
    <col min="80" max="80" width="1.83203125" style="233" customWidth="1"/>
    <col min="81" max="81" width="9.33203125" style="233" customWidth="1"/>
    <col min="82" max="82" width="1.83203125" style="233" customWidth="1"/>
    <col min="83" max="83" width="9.33203125" style="233" customWidth="1"/>
    <col min="84" max="84" width="1.83203125" style="233" customWidth="1"/>
    <col min="85" max="85" width="9.33203125" style="233" customWidth="1"/>
    <col min="86" max="86" width="1.83203125" style="233" customWidth="1"/>
    <col min="87" max="16384" width="9.33203125" style="235" customWidth="1"/>
  </cols>
  <sheetData>
    <row r="1" spans="2:46" ht="16.5" customHeight="1">
      <c r="B1" s="199">
        <v>0</v>
      </c>
      <c r="C1" s="200" t="s">
        <v>368</v>
      </c>
      <c r="D1" s="200"/>
      <c r="E1" s="358"/>
      <c r="F1" s="358"/>
      <c r="G1" s="359"/>
      <c r="H1" s="360"/>
      <c r="I1" s="361"/>
      <c r="J1" s="360"/>
      <c r="K1" s="361"/>
      <c r="L1" s="360"/>
      <c r="M1" s="361"/>
      <c r="N1" s="360"/>
      <c r="O1" s="361"/>
      <c r="P1" s="360"/>
      <c r="Q1" s="359"/>
      <c r="R1" s="360"/>
      <c r="S1" s="359"/>
      <c r="T1" s="360"/>
      <c r="U1" s="359"/>
      <c r="V1" s="360"/>
      <c r="W1" s="359"/>
      <c r="X1" s="360"/>
      <c r="Y1" s="359"/>
      <c r="Z1" s="360"/>
      <c r="AA1" s="359"/>
      <c r="AB1" s="360"/>
      <c r="AC1" s="361"/>
      <c r="AD1" s="360"/>
      <c r="AE1" s="359"/>
      <c r="AF1" s="360"/>
      <c r="AG1" s="359"/>
      <c r="AH1" s="360"/>
      <c r="AI1" s="359"/>
      <c r="AJ1" s="359"/>
      <c r="AK1" s="359"/>
      <c r="AL1" s="359"/>
      <c r="AM1" s="359"/>
      <c r="AN1" s="360"/>
      <c r="AO1" s="362"/>
      <c r="AP1" s="360"/>
      <c r="AQ1" s="362"/>
      <c r="AR1" s="362"/>
      <c r="AT1" s="210" t="s">
        <v>98</v>
      </c>
    </row>
    <row r="2" spans="5:17" ht="6" customHeight="1">
      <c r="E2" s="363"/>
      <c r="F2" s="363"/>
      <c r="G2" s="364"/>
      <c r="H2" s="365"/>
      <c r="I2" s="366"/>
      <c r="J2" s="365"/>
      <c r="K2" s="366"/>
      <c r="L2" s="365"/>
      <c r="M2" s="366"/>
      <c r="N2" s="365"/>
      <c r="O2" s="366"/>
      <c r="P2" s="365"/>
      <c r="Q2" s="367"/>
    </row>
    <row r="3" spans="1:88" s="384" customFormat="1" ht="17.25" customHeight="1">
      <c r="A3" s="307"/>
      <c r="B3" s="307"/>
      <c r="C3" s="368" t="s">
        <v>370</v>
      </c>
      <c r="D3" s="659"/>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376"/>
      <c r="AV3" s="377"/>
      <c r="AW3" s="378"/>
      <c r="AX3" s="377"/>
      <c r="AY3" s="379"/>
      <c r="AZ3" s="379"/>
      <c r="BA3" s="379"/>
      <c r="BB3" s="379"/>
      <c r="BC3" s="380"/>
      <c r="BD3" s="380"/>
      <c r="BE3" s="380"/>
      <c r="BF3" s="380"/>
      <c r="BG3" s="380"/>
      <c r="BH3" s="380"/>
      <c r="BI3" s="381"/>
      <c r="BJ3" s="377"/>
      <c r="BK3" s="377"/>
      <c r="BL3" s="377"/>
      <c r="BM3" s="377"/>
      <c r="BN3" s="377"/>
      <c r="BO3" s="377"/>
      <c r="BP3" s="381"/>
      <c r="BQ3" s="381"/>
      <c r="BR3" s="381"/>
      <c r="BS3" s="377"/>
      <c r="BT3" s="377"/>
      <c r="BU3" s="377"/>
      <c r="BV3" s="377"/>
      <c r="BW3" s="377"/>
      <c r="BX3" s="377"/>
      <c r="BY3" s="377"/>
      <c r="BZ3" s="377"/>
      <c r="CA3" s="377"/>
      <c r="CB3" s="382"/>
      <c r="CC3" s="377"/>
      <c r="CD3" s="377"/>
      <c r="CE3" s="377"/>
      <c r="CF3" s="377"/>
      <c r="CG3" s="377"/>
      <c r="CH3" s="382"/>
      <c r="CI3" s="383"/>
      <c r="CJ3" s="383"/>
    </row>
    <row r="4" spans="5:47" ht="3" customHeight="1">
      <c r="E4" s="385"/>
      <c r="F4" s="385"/>
      <c r="T4" s="372"/>
      <c r="U4" s="367"/>
      <c r="V4" s="372"/>
      <c r="AE4" s="364"/>
      <c r="AF4" s="365"/>
      <c r="AR4" s="338"/>
      <c r="AT4" s="348"/>
      <c r="AU4" s="348"/>
    </row>
    <row r="5" spans="2:47" ht="17.25" customHeight="1">
      <c r="B5" s="251">
        <v>23</v>
      </c>
      <c r="C5" s="806" t="s">
        <v>103</v>
      </c>
      <c r="D5" s="806"/>
      <c r="E5" s="807"/>
      <c r="F5" s="807"/>
      <c r="G5" s="807"/>
      <c r="H5" s="808"/>
      <c r="I5" s="808"/>
      <c r="J5" s="808"/>
      <c r="K5" s="808"/>
      <c r="L5" s="808"/>
      <c r="M5" s="808"/>
      <c r="N5" s="808"/>
      <c r="O5" s="808"/>
      <c r="P5" s="808"/>
      <c r="Q5" s="807"/>
      <c r="R5" s="808"/>
      <c r="S5" s="807"/>
      <c r="T5" s="808"/>
      <c r="U5" s="807"/>
      <c r="V5" s="808"/>
      <c r="W5" s="807"/>
      <c r="X5" s="808"/>
      <c r="Y5" s="807"/>
      <c r="Z5" s="808"/>
      <c r="AA5" s="807"/>
      <c r="AB5" s="808"/>
      <c r="AC5" s="808"/>
      <c r="AD5" s="808"/>
      <c r="AE5" s="807"/>
      <c r="AF5" s="808"/>
      <c r="AG5" s="807"/>
      <c r="AH5" s="386"/>
      <c r="AI5" s="387"/>
      <c r="AJ5" s="387"/>
      <c r="AK5" s="387"/>
      <c r="AL5" s="387"/>
      <c r="AM5" s="387"/>
      <c r="AN5" s="386"/>
      <c r="AO5" s="333"/>
      <c r="AP5" s="386"/>
      <c r="AQ5" s="333"/>
      <c r="AR5" s="333"/>
      <c r="AT5" s="388" t="s">
        <v>63</v>
      </c>
      <c r="AU5" s="348"/>
    </row>
    <row r="6" spans="5:47" ht="14.25" customHeight="1">
      <c r="E6" s="238"/>
      <c r="F6" s="238"/>
      <c r="T6" s="389" t="s">
        <v>152</v>
      </c>
      <c r="U6" s="390"/>
      <c r="V6" s="391"/>
      <c r="W6" s="392"/>
      <c r="X6" s="391"/>
      <c r="Y6" s="392"/>
      <c r="Z6" s="391"/>
      <c r="AA6" s="393"/>
      <c r="AB6" s="391"/>
      <c r="AD6" s="391"/>
      <c r="AE6" s="392"/>
      <c r="AF6" s="391"/>
      <c r="AH6" s="391"/>
      <c r="AI6" s="394"/>
      <c r="AJ6" s="394"/>
      <c r="AK6" s="394"/>
      <c r="AL6" s="394"/>
      <c r="AM6" s="394"/>
      <c r="AN6" s="349"/>
      <c r="AO6" s="395" t="s">
        <v>617</v>
      </c>
      <c r="AP6" s="349"/>
      <c r="AQ6" s="395"/>
      <c r="AR6" s="349"/>
      <c r="AT6" s="396" t="s">
        <v>53</v>
      </c>
      <c r="AU6" s="348"/>
    </row>
    <row r="7" spans="1:86" s="255" customFormat="1" ht="21.75" customHeight="1">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3"/>
      <c r="AL7" s="253">
        <v>2010</v>
      </c>
      <c r="AM7" s="253"/>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399" customFormat="1" ht="15" customHeight="1">
      <c r="A8" s="250"/>
      <c r="B8" s="397">
        <v>24</v>
      </c>
      <c r="C8" s="262">
        <v>1</v>
      </c>
      <c r="D8" s="398" t="s">
        <v>140</v>
      </c>
      <c r="E8" s="262" t="s">
        <v>372</v>
      </c>
      <c r="F8" s="644"/>
      <c r="G8" s="876"/>
      <c r="H8" s="644"/>
      <c r="I8" s="876"/>
      <c r="J8" s="644"/>
      <c r="K8" s="876"/>
      <c r="L8" s="644"/>
      <c r="M8" s="876"/>
      <c r="N8" s="644"/>
      <c r="O8" s="876"/>
      <c r="P8" s="644"/>
      <c r="Q8" s="876"/>
      <c r="R8" s="644"/>
      <c r="S8" s="876"/>
      <c r="T8" s="644"/>
      <c r="U8" s="876"/>
      <c r="V8" s="644"/>
      <c r="W8" s="876"/>
      <c r="X8" s="644"/>
      <c r="Y8" s="876"/>
      <c r="Z8" s="644"/>
      <c r="AA8" s="876"/>
      <c r="AB8" s="644"/>
      <c r="AC8" s="876"/>
      <c r="AD8" s="644"/>
      <c r="AE8" s="876"/>
      <c r="AF8" s="644"/>
      <c r="AG8" s="876"/>
      <c r="AH8" s="644"/>
      <c r="AI8" s="876"/>
      <c r="AJ8" s="644"/>
      <c r="AK8" s="876"/>
      <c r="AL8" s="644"/>
      <c r="AM8" s="876"/>
      <c r="AN8" s="644"/>
      <c r="AO8" s="876"/>
      <c r="AP8" s="644"/>
      <c r="AQ8" s="876"/>
      <c r="AS8" s="400"/>
      <c r="AT8" s="105">
        <v>1</v>
      </c>
      <c r="AU8" s="321" t="s">
        <v>140</v>
      </c>
      <c r="AV8" s="105" t="s">
        <v>372</v>
      </c>
      <c r="AW8" s="85" t="s">
        <v>99</v>
      </c>
      <c r="AX8" s="268"/>
      <c r="AY8" s="85" t="str">
        <f>IF(OR(ISBLANK(F8),ISBLANK(H8)),"N/A",IF(ABS((H8-F8)/F8)&gt;1,"&gt; 100%","ok"))</f>
        <v>N/A</v>
      </c>
      <c r="AZ8" s="268"/>
      <c r="BA8" s="85" t="str">
        <f>IF(OR(ISBLANK(H8),ISBLANK(J8)),"N/A",IF(ABS((J8-H8)/H8)&gt;0.25,"&gt; 25%","ok"))</f>
        <v>N/A</v>
      </c>
      <c r="BB8" s="85"/>
      <c r="BC8" s="85" t="str">
        <f>IF(OR(ISBLANK(J8),ISBLANK(L8)),"N/A",IF(ABS((L8-J8)/J8)&gt;0.25,"&gt; 25%","ok"))</f>
        <v>N/A</v>
      </c>
      <c r="BD8" s="85"/>
      <c r="BE8" s="85" t="str">
        <f>IF(OR(ISBLANK(L8),ISBLANK(N8)),"N/A",IF(ABS((N8-L8)/L8)&gt;0.25,"&gt; 25%","ok"))</f>
        <v>N/A</v>
      </c>
      <c r="BF8" s="85"/>
      <c r="BG8" s="85" t="str">
        <f>IF(OR(ISBLANK(N8),ISBLANK(P8)),"N/A",IF(ABS((P8-N8)/N8)&gt;0.25,"&gt; 25%","ok"))</f>
        <v>N/A</v>
      </c>
      <c r="BH8" s="85"/>
      <c r="BI8" s="85" t="str">
        <f>IF(OR(ISBLANK(P8),ISBLANK(R8)),"N/A",IF(ABS((R8-P8)/P8)&gt;0.25,"&gt; 25%","ok"))</f>
        <v>N/A</v>
      </c>
      <c r="BJ8" s="85"/>
      <c r="BK8" s="85" t="str">
        <f>IF(OR(ISBLANK(R8),ISBLANK(T8)),"N/A",IF(ABS((T8-R8)/R8)&gt;0.25,"&gt; 25%","ok"))</f>
        <v>N/A</v>
      </c>
      <c r="BL8" s="85"/>
      <c r="BM8" s="85" t="str">
        <f>IF(OR(ISBLANK(T8),ISBLANK(V8)),"N/A",IF(ABS((V8-T8)/T8)&gt;0.25,"&gt; 25%","ok"))</f>
        <v>N/A</v>
      </c>
      <c r="BN8" s="85"/>
      <c r="BO8" s="85" t="str">
        <f>IF(OR(ISBLANK(V8),ISBLANK(X8)),"N/A",IF(ABS((X8-V8)/V8)&gt;0.25,"&gt; 25%","ok"))</f>
        <v>N/A</v>
      </c>
      <c r="BP8" s="85"/>
      <c r="BQ8" s="85" t="str">
        <f>IF(OR(ISBLANK(X8),ISBLANK(Z8)),"N/A",IF(ABS((Z8-X8)/X8)&gt;0.25,"&gt; 25%","ok"))</f>
        <v>N/A</v>
      </c>
      <c r="BR8" s="85"/>
      <c r="BS8" s="85" t="str">
        <f>IF(OR(ISBLANK(Z8),ISBLANK(AB8)),"N/A",IF(ABS((AB8-Z8)/Z8)&gt;0.25,"&gt; 25%","ok"))</f>
        <v>N/A</v>
      </c>
      <c r="BT8" s="85"/>
      <c r="BU8" s="85" t="str">
        <f>IF(OR(ISBLANK(AB8),ISBLANK(AD8)),"N/A",IF(ABS((AD8-AB8)/AB8)&gt;0.25,"&gt; 25%","ok"))</f>
        <v>N/A</v>
      </c>
      <c r="BV8" s="85"/>
      <c r="BW8" s="85" t="str">
        <f>IF(OR(ISBLANK(AD8),ISBLANK(AF8)),"N/A",IF(ABS((AF8-AD8)/AD8)&gt;0.25,"&gt; 25%","ok"))</f>
        <v>N/A</v>
      </c>
      <c r="BX8" s="85"/>
      <c r="BY8" s="85" t="str">
        <f>IF(OR(ISBLANK(AF8),ISBLANK(AH8)),"N/A",IF(ABS((AH8-AF8)/AF8)&gt;0.25,"&gt; 25%","ok"))</f>
        <v>N/A</v>
      </c>
      <c r="BZ8" s="85"/>
      <c r="CA8" s="85" t="str">
        <f>IF(OR(ISBLANK(AH8),ISBLANK(AJ8)),"N/A",IF(ABS((AJ8-AH8)/AH8)&gt;0.25,"&gt; 25%","ok"))</f>
        <v>N/A</v>
      </c>
      <c r="CB8" s="85"/>
      <c r="CC8" s="85" t="str">
        <f>IF(OR(ISBLANK(AJ8),ISBLANK(AL8)),"N/A",IF(ABS((AL8-AJ8)/AJ8)&gt;0.25,"&gt; 25%","ok"))</f>
        <v>N/A</v>
      </c>
      <c r="CD8" s="85"/>
      <c r="CE8" s="85" t="str">
        <f>IF(OR(ISBLANK(AL8),ISBLANK(AN8)),"N/A",IF(ABS((AN8-AL8)/AL8)&gt;0.25,"&gt; 25%","ok"))</f>
        <v>N/A</v>
      </c>
      <c r="CF8" s="85"/>
      <c r="CG8" s="85" t="str">
        <f>IF(OR(ISBLANK(AN8),ISBLANK(AP8)),"N/A",IF(ABS((AP8-AN8)/AN8)&gt;0.25,"&gt; 25%","ok"))</f>
        <v>N/A</v>
      </c>
      <c r="CH8" s="85"/>
    </row>
    <row r="9" spans="1:86" s="399" customFormat="1" ht="15" customHeight="1">
      <c r="A9" s="250"/>
      <c r="B9" s="397">
        <v>25</v>
      </c>
      <c r="C9" s="279">
        <v>2</v>
      </c>
      <c r="D9" s="398" t="s">
        <v>141</v>
      </c>
      <c r="E9" s="279" t="s">
        <v>372</v>
      </c>
      <c r="F9" s="644"/>
      <c r="G9" s="876"/>
      <c r="H9" s="644"/>
      <c r="I9" s="876"/>
      <c r="J9" s="644"/>
      <c r="K9" s="876"/>
      <c r="L9" s="644"/>
      <c r="M9" s="876"/>
      <c r="N9" s="644"/>
      <c r="O9" s="876"/>
      <c r="P9" s="644"/>
      <c r="Q9" s="876"/>
      <c r="R9" s="644"/>
      <c r="S9" s="876"/>
      <c r="T9" s="644"/>
      <c r="U9" s="876"/>
      <c r="V9" s="644"/>
      <c r="W9" s="876"/>
      <c r="X9" s="644"/>
      <c r="Y9" s="876"/>
      <c r="Z9" s="644"/>
      <c r="AA9" s="876"/>
      <c r="AB9" s="644"/>
      <c r="AC9" s="876"/>
      <c r="AD9" s="644"/>
      <c r="AE9" s="876"/>
      <c r="AF9" s="644"/>
      <c r="AG9" s="876"/>
      <c r="AH9" s="644"/>
      <c r="AI9" s="876"/>
      <c r="AJ9" s="644"/>
      <c r="AK9" s="876"/>
      <c r="AL9" s="644"/>
      <c r="AM9" s="876"/>
      <c r="AN9" s="644"/>
      <c r="AO9" s="876"/>
      <c r="AP9" s="644"/>
      <c r="AQ9" s="876"/>
      <c r="AS9" s="401"/>
      <c r="AT9" s="87">
        <v>2</v>
      </c>
      <c r="AU9" s="321" t="s">
        <v>141</v>
      </c>
      <c r="AV9" s="87" t="s">
        <v>372</v>
      </c>
      <c r="AW9" s="85" t="s">
        <v>99</v>
      </c>
      <c r="AX9" s="268"/>
      <c r="AY9" s="85" t="str">
        <f>IF(OR(ISBLANK(F9),ISBLANK(H9)),"N/A",IF(ABS((H9-F9)/F9)&gt;1,"&gt; 100%","ok"))</f>
        <v>N/A</v>
      </c>
      <c r="AZ9" s="268"/>
      <c r="BA9" s="85" t="str">
        <f>IF(OR(ISBLANK(H9),ISBLANK(J9)),"N/A",IF(ABS((J9-H9)/H9)&gt;0.25,"&gt; 25%","ok"))</f>
        <v>N/A</v>
      </c>
      <c r="BB9" s="85"/>
      <c r="BC9" s="85" t="str">
        <f>IF(OR(ISBLANK(J9),ISBLANK(L9)),"N/A",IF(ABS((L9-J9)/J9)&gt;0.25,"&gt; 25%","ok"))</f>
        <v>N/A</v>
      </c>
      <c r="BD9" s="85"/>
      <c r="BE9" s="85" t="str">
        <f>IF(OR(ISBLANK(L9),ISBLANK(N9)),"N/A",IF(ABS((N9-L9)/L9)&gt;0.25,"&gt; 25%","ok"))</f>
        <v>N/A</v>
      </c>
      <c r="BF9" s="85"/>
      <c r="BG9" s="85" t="str">
        <f>IF(OR(ISBLANK(N9),ISBLANK(P9)),"N/A",IF(ABS((P9-N9)/N9)&gt;0.25,"&gt; 25%","ok"))</f>
        <v>N/A</v>
      </c>
      <c r="BH9" s="85"/>
      <c r="BI9" s="85" t="str">
        <f>IF(OR(ISBLANK(P9),ISBLANK(R9)),"N/A",IF(ABS((R9-P9)/P9)&gt;0.25,"&gt; 25%","ok"))</f>
        <v>N/A</v>
      </c>
      <c r="BJ9" s="85"/>
      <c r="BK9" s="85" t="str">
        <f>IF(OR(ISBLANK(R9),ISBLANK(T9)),"N/A",IF(ABS((T9-R9)/R9)&gt;0.25,"&gt; 25%","ok"))</f>
        <v>N/A</v>
      </c>
      <c r="BL9" s="85"/>
      <c r="BM9" s="85" t="str">
        <f>IF(OR(ISBLANK(T9),ISBLANK(V9)),"N/A",IF(ABS((V9-T9)/T9)&gt;0.25,"&gt; 25%","ok"))</f>
        <v>N/A</v>
      </c>
      <c r="BN9" s="85"/>
      <c r="BO9" s="85" t="str">
        <f>IF(OR(ISBLANK(V9),ISBLANK(X9)),"N/A",IF(ABS((X9-V9)/V9)&gt;0.25,"&gt; 25%","ok"))</f>
        <v>N/A</v>
      </c>
      <c r="BP9" s="85"/>
      <c r="BQ9" s="85" t="str">
        <f>IF(OR(ISBLANK(X9),ISBLANK(Z9)),"N/A",IF(ABS((Z9-X9)/X9)&gt;0.25,"&gt; 25%","ok"))</f>
        <v>N/A</v>
      </c>
      <c r="BR9" s="85"/>
      <c r="BS9" s="85" t="str">
        <f>IF(OR(ISBLANK(Z9),ISBLANK(AB9)),"N/A",IF(ABS((AB9-Z9)/Z9)&gt;0.25,"&gt; 25%","ok"))</f>
        <v>N/A</v>
      </c>
      <c r="BT9" s="85"/>
      <c r="BU9" s="85" t="str">
        <f>IF(OR(ISBLANK(AB9),ISBLANK(AD9)),"N/A",IF(ABS((AD9-AB9)/AB9)&gt;0.25,"&gt; 25%","ok"))</f>
        <v>N/A</v>
      </c>
      <c r="BV9" s="85"/>
      <c r="BW9" s="85" t="str">
        <f>IF(OR(ISBLANK(AD9),ISBLANK(AF9)),"N/A",IF(ABS((AF9-AD9)/AD9)&gt;0.25,"&gt; 25%","ok"))</f>
        <v>N/A</v>
      </c>
      <c r="BX9" s="85"/>
      <c r="BY9" s="85" t="str">
        <f>IF(OR(ISBLANK(AF9),ISBLANK(AH9)),"N/A",IF(ABS((AH9-AF9)/AF9)&gt;0.25,"&gt; 25%","ok"))</f>
        <v>N/A</v>
      </c>
      <c r="BZ9" s="85"/>
      <c r="CA9" s="85" t="str">
        <f aca="true" t="shared" si="0" ref="CA9:CA28">IF(OR(ISBLANK(AH9),ISBLANK(AJ9)),"N/A",IF(ABS((AJ9-AH9)/AH9)&gt;0.25,"&gt; 25%","ok"))</f>
        <v>N/A</v>
      </c>
      <c r="CB9" s="85"/>
      <c r="CC9" s="85" t="str">
        <f>IF(OR(ISBLANK(AJ9),ISBLANK(AL9)),"N/A",IF(ABS((AL9-AJ9)/AJ9)&gt;0.25,"&gt; 25%","ok"))</f>
        <v>N/A</v>
      </c>
      <c r="CD9" s="85"/>
      <c r="CE9" s="85" t="str">
        <f>IF(OR(ISBLANK(AL9),ISBLANK(AN9)),"N/A",IF(ABS((AN9-AL9)/AL9)&gt;0.25,"&gt; 25%","ok"))</f>
        <v>N/A</v>
      </c>
      <c r="CF9" s="85"/>
      <c r="CG9" s="85" t="str">
        <f aca="true" t="shared" si="1" ref="CG9:CG28">IF(OR(ISBLANK(AN9),ISBLANK(AP9)),"N/A",IF(ABS((AP9-AN9)/AN9)&gt;0.25,"&gt; 25%","ok"))</f>
        <v>N/A</v>
      </c>
      <c r="CH9" s="85"/>
    </row>
    <row r="10" spans="1:86" s="406" customFormat="1" ht="15" customHeight="1">
      <c r="A10" s="402" t="s">
        <v>78</v>
      </c>
      <c r="B10" s="403">
        <v>5001</v>
      </c>
      <c r="C10" s="404">
        <v>3</v>
      </c>
      <c r="D10" s="405" t="s">
        <v>142</v>
      </c>
      <c r="E10" s="269" t="s">
        <v>372</v>
      </c>
      <c r="F10" s="641"/>
      <c r="G10" s="872"/>
      <c r="H10" s="641"/>
      <c r="I10" s="872"/>
      <c r="J10" s="641"/>
      <c r="K10" s="872"/>
      <c r="L10" s="641"/>
      <c r="M10" s="872"/>
      <c r="N10" s="641"/>
      <c r="O10" s="872"/>
      <c r="P10" s="641"/>
      <c r="Q10" s="872"/>
      <c r="R10" s="641"/>
      <c r="S10" s="872"/>
      <c r="T10" s="641"/>
      <c r="U10" s="872"/>
      <c r="V10" s="641"/>
      <c r="W10" s="872"/>
      <c r="X10" s="641"/>
      <c r="Y10" s="872"/>
      <c r="Z10" s="641"/>
      <c r="AA10" s="872"/>
      <c r="AB10" s="641"/>
      <c r="AC10" s="872"/>
      <c r="AD10" s="641"/>
      <c r="AE10" s="872"/>
      <c r="AF10" s="641"/>
      <c r="AG10" s="872"/>
      <c r="AH10" s="641"/>
      <c r="AI10" s="872"/>
      <c r="AJ10" s="641"/>
      <c r="AK10" s="872"/>
      <c r="AL10" s="641"/>
      <c r="AM10" s="872"/>
      <c r="AN10" s="641"/>
      <c r="AO10" s="872"/>
      <c r="AP10" s="641"/>
      <c r="AQ10" s="872"/>
      <c r="AS10" s="407"/>
      <c r="AT10" s="408">
        <v>3</v>
      </c>
      <c r="AU10" s="409" t="s">
        <v>142</v>
      </c>
      <c r="AV10" s="87" t="s">
        <v>372</v>
      </c>
      <c r="AW10" s="114" t="s">
        <v>99</v>
      </c>
      <c r="AX10" s="410"/>
      <c r="AY10" s="85" t="str">
        <f aca="true" t="shared" si="2" ref="AY10:AY26">IF(OR(ISBLANK(F10),ISBLANK(H10)),"N/A",IF(ABS((H10-F10)/F10)&gt;1,"&gt; 100%","ok"))</f>
        <v>N/A</v>
      </c>
      <c r="AZ10" s="268"/>
      <c r="BA10" s="85" t="str">
        <f aca="true" t="shared" si="3" ref="BA10:BA28">IF(OR(ISBLANK(H10),ISBLANK(J10)),"N/A",IF(ABS((J10-H10)/H10)&gt;0.25,"&gt; 25%","ok"))</f>
        <v>N/A</v>
      </c>
      <c r="BB10" s="85"/>
      <c r="BC10" s="85" t="str">
        <f aca="true" t="shared" si="4" ref="BC10:BC26">IF(OR(ISBLANK(J10),ISBLANK(L10)),"N/A",IF(ABS((L10-J10)/J10)&gt;0.25,"&gt; 25%","ok"))</f>
        <v>N/A</v>
      </c>
      <c r="BD10" s="85"/>
      <c r="BE10" s="85" t="str">
        <f aca="true" t="shared" si="5" ref="BE10:BE28">IF(OR(ISBLANK(L10),ISBLANK(N10)),"N/A",IF(ABS((N10-L10)/L10)&gt;0.25,"&gt; 25%","ok"))</f>
        <v>N/A</v>
      </c>
      <c r="BF10" s="85"/>
      <c r="BG10" s="85" t="str">
        <f aca="true" t="shared" si="6" ref="BG10:BG28">IF(OR(ISBLANK(N10),ISBLANK(P10)),"N/A",IF(ABS((P10-N10)/N10)&gt;0.25,"&gt; 25%","ok"))</f>
        <v>N/A</v>
      </c>
      <c r="BH10" s="85"/>
      <c r="BI10" s="85" t="str">
        <f aca="true" t="shared" si="7" ref="BI10:BI28">IF(OR(ISBLANK(P10),ISBLANK(R10)),"N/A",IF(ABS((R10-P10)/P10)&gt;0.25,"&gt; 25%","ok"))</f>
        <v>N/A</v>
      </c>
      <c r="BJ10" s="85"/>
      <c r="BK10" s="85" t="str">
        <f aca="true" t="shared" si="8" ref="BK10:BK28">IF(OR(ISBLANK(R10),ISBLANK(T10)),"N/A",IF(ABS((T10-R10)/R10)&gt;0.25,"&gt; 25%","ok"))</f>
        <v>N/A</v>
      </c>
      <c r="BL10" s="85"/>
      <c r="BM10" s="85" t="str">
        <f aca="true" t="shared" si="9" ref="BM10:BM28">IF(OR(ISBLANK(T10),ISBLANK(V10)),"N/A",IF(ABS((V10-T10)/T10)&gt;0.25,"&gt; 25%","ok"))</f>
        <v>N/A</v>
      </c>
      <c r="BN10" s="85"/>
      <c r="BO10" s="85" t="str">
        <f aca="true" t="shared" si="10" ref="BO10:BO28">IF(OR(ISBLANK(V10),ISBLANK(X10)),"N/A",IF(ABS((X10-V10)/V10)&gt;0.25,"&gt; 25%","ok"))</f>
        <v>N/A</v>
      </c>
      <c r="BP10" s="85"/>
      <c r="BQ10" s="85" t="str">
        <f aca="true" t="shared" si="11" ref="BQ10:BQ28">IF(OR(ISBLANK(X10),ISBLANK(Z10)),"N/A",IF(ABS((Z10-X10)/X10)&gt;0.25,"&gt; 25%","ok"))</f>
        <v>N/A</v>
      </c>
      <c r="BR10" s="85"/>
      <c r="BS10" s="85" t="str">
        <f aca="true" t="shared" si="12" ref="BS10:BS28">IF(OR(ISBLANK(Z10),ISBLANK(AB10)),"N/A",IF(ABS((AB10-Z10)/Z10)&gt;0.25,"&gt; 25%","ok"))</f>
        <v>N/A</v>
      </c>
      <c r="BT10" s="85"/>
      <c r="BU10" s="85" t="str">
        <f aca="true" t="shared" si="13" ref="BU10:BU28">IF(OR(ISBLANK(AB10),ISBLANK(AD10)),"N/A",IF(ABS((AD10-AB10)/AB10)&gt;0.25,"&gt; 25%","ok"))</f>
        <v>N/A</v>
      </c>
      <c r="BV10" s="85"/>
      <c r="BW10" s="85" t="str">
        <f aca="true" t="shared" si="14" ref="BW10:BW28">IF(OR(ISBLANK(AD10),ISBLANK(AF10)),"N/A",IF(ABS((AF10-AD10)/AD10)&gt;0.25,"&gt; 25%","ok"))</f>
        <v>N/A</v>
      </c>
      <c r="BX10" s="85"/>
      <c r="BY10" s="85" t="str">
        <f aca="true" t="shared" si="15" ref="BY10:BY28">IF(OR(ISBLANK(AF10),ISBLANK(AH10)),"N/A",IF(ABS((AH10-AF10)/AF10)&gt;0.25,"&gt; 25%","ok"))</f>
        <v>N/A</v>
      </c>
      <c r="BZ10" s="85"/>
      <c r="CA10" s="85" t="str">
        <f t="shared" si="0"/>
        <v>N/A</v>
      </c>
      <c r="CB10" s="85"/>
      <c r="CC10" s="85" t="str">
        <f aca="true" t="shared" si="16" ref="CC10:CC28">IF(OR(ISBLANK(AJ10),ISBLANK(AL10)),"N/A",IF(ABS((AL10-AJ10)/AJ10)&gt;0.25,"&gt; 25%","ok"))</f>
        <v>N/A</v>
      </c>
      <c r="CD10" s="85"/>
      <c r="CE10" s="85" t="str">
        <f aca="true" t="shared" si="17" ref="CE10:CE28">IF(OR(ISBLANK(AL10),ISBLANK(AN10)),"N/A",IF(ABS((AN10-AL10)/AL10)&gt;0.25,"&gt; 25%","ok"))</f>
        <v>N/A</v>
      </c>
      <c r="CF10" s="85"/>
      <c r="CG10" s="85" t="str">
        <f t="shared" si="1"/>
        <v>N/A</v>
      </c>
      <c r="CH10" s="114"/>
    </row>
    <row r="11" spans="1:86" s="412" customFormat="1" ht="15" customHeight="1">
      <c r="A11" s="230"/>
      <c r="B11" s="397">
        <v>5002</v>
      </c>
      <c r="C11" s="279"/>
      <c r="D11" s="411" t="s">
        <v>544</v>
      </c>
      <c r="E11" s="279"/>
      <c r="F11" s="644"/>
      <c r="G11" s="876"/>
      <c r="H11" s="644"/>
      <c r="I11" s="876"/>
      <c r="J11" s="644"/>
      <c r="K11" s="876"/>
      <c r="L11" s="644"/>
      <c r="M11" s="876"/>
      <c r="N11" s="644"/>
      <c r="O11" s="876"/>
      <c r="P11" s="644"/>
      <c r="Q11" s="876"/>
      <c r="R11" s="644"/>
      <c r="S11" s="876"/>
      <c r="T11" s="644"/>
      <c r="U11" s="876"/>
      <c r="V11" s="644"/>
      <c r="W11" s="876"/>
      <c r="X11" s="644"/>
      <c r="Y11" s="876"/>
      <c r="Z11" s="644"/>
      <c r="AA11" s="876"/>
      <c r="AB11" s="644"/>
      <c r="AC11" s="876"/>
      <c r="AD11" s="644"/>
      <c r="AE11" s="876"/>
      <c r="AF11" s="644"/>
      <c r="AG11" s="876"/>
      <c r="AH11" s="644"/>
      <c r="AI11" s="876"/>
      <c r="AJ11" s="644"/>
      <c r="AK11" s="876"/>
      <c r="AL11" s="644"/>
      <c r="AM11" s="876"/>
      <c r="AN11" s="644"/>
      <c r="AO11" s="876"/>
      <c r="AP11" s="644"/>
      <c r="AQ11" s="876"/>
      <c r="AS11" s="233"/>
      <c r="AT11" s="87"/>
      <c r="AU11" s="413" t="s">
        <v>544</v>
      </c>
      <c r="AV11" s="87"/>
      <c r="AW11" s="85"/>
      <c r="AX11" s="268"/>
      <c r="AY11" s="85"/>
      <c r="AZ11" s="268"/>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1:86" s="412" customFormat="1" ht="15" customHeight="1">
      <c r="A12" s="230"/>
      <c r="B12" s="397">
        <v>255</v>
      </c>
      <c r="C12" s="279">
        <v>4</v>
      </c>
      <c r="D12" s="414" t="s">
        <v>150</v>
      </c>
      <c r="E12" s="279" t="s">
        <v>372</v>
      </c>
      <c r="F12" s="644"/>
      <c r="G12" s="876"/>
      <c r="H12" s="644"/>
      <c r="I12" s="876"/>
      <c r="J12" s="644"/>
      <c r="K12" s="876"/>
      <c r="L12" s="644"/>
      <c r="M12" s="876"/>
      <c r="N12" s="644"/>
      <c r="O12" s="876"/>
      <c r="P12" s="644"/>
      <c r="Q12" s="876"/>
      <c r="R12" s="644"/>
      <c r="S12" s="876"/>
      <c r="T12" s="644"/>
      <c r="U12" s="876"/>
      <c r="V12" s="644"/>
      <c r="W12" s="876"/>
      <c r="X12" s="644"/>
      <c r="Y12" s="876"/>
      <c r="Z12" s="644"/>
      <c r="AA12" s="876"/>
      <c r="AB12" s="644"/>
      <c r="AC12" s="876"/>
      <c r="AD12" s="644"/>
      <c r="AE12" s="876"/>
      <c r="AF12" s="644"/>
      <c r="AG12" s="876"/>
      <c r="AH12" s="644"/>
      <c r="AI12" s="876"/>
      <c r="AJ12" s="644"/>
      <c r="AK12" s="876"/>
      <c r="AL12" s="644"/>
      <c r="AM12" s="876"/>
      <c r="AN12" s="644"/>
      <c r="AO12" s="876"/>
      <c r="AP12" s="644"/>
      <c r="AQ12" s="876"/>
      <c r="AS12" s="233"/>
      <c r="AT12" s="87">
        <v>4</v>
      </c>
      <c r="AU12" s="415" t="s">
        <v>150</v>
      </c>
      <c r="AV12" s="87" t="s">
        <v>372</v>
      </c>
      <c r="AW12" s="85" t="s">
        <v>99</v>
      </c>
      <c r="AX12" s="268"/>
      <c r="AY12" s="85" t="str">
        <f t="shared" si="2"/>
        <v>N/A</v>
      </c>
      <c r="AZ12" s="268"/>
      <c r="BA12" s="85" t="str">
        <f t="shared" si="3"/>
        <v>N/A</v>
      </c>
      <c r="BB12" s="85"/>
      <c r="BC12" s="85" t="str">
        <f t="shared" si="4"/>
        <v>N/A</v>
      </c>
      <c r="BD12" s="85"/>
      <c r="BE12" s="85" t="str">
        <f t="shared" si="5"/>
        <v>N/A</v>
      </c>
      <c r="BF12" s="85"/>
      <c r="BG12" s="85" t="str">
        <f t="shared" si="6"/>
        <v>N/A</v>
      </c>
      <c r="BH12" s="85"/>
      <c r="BI12" s="85" t="str">
        <f t="shared" si="7"/>
        <v>N/A</v>
      </c>
      <c r="BJ12" s="85"/>
      <c r="BK12" s="85" t="str">
        <f t="shared" si="8"/>
        <v>N/A</v>
      </c>
      <c r="BL12" s="85"/>
      <c r="BM12" s="85" t="str">
        <f t="shared" si="9"/>
        <v>N/A</v>
      </c>
      <c r="BN12" s="85"/>
      <c r="BO12" s="85" t="str">
        <f t="shared" si="10"/>
        <v>N/A</v>
      </c>
      <c r="BP12" s="85"/>
      <c r="BQ12" s="85" t="str">
        <f t="shared" si="11"/>
        <v>N/A</v>
      </c>
      <c r="BR12" s="85"/>
      <c r="BS12" s="85" t="str">
        <f t="shared" si="12"/>
        <v>N/A</v>
      </c>
      <c r="BT12" s="85"/>
      <c r="BU12" s="85" t="str">
        <f t="shared" si="13"/>
        <v>N/A</v>
      </c>
      <c r="BV12" s="85"/>
      <c r="BW12" s="85" t="str">
        <f t="shared" si="14"/>
        <v>N/A</v>
      </c>
      <c r="BX12" s="85"/>
      <c r="BY12" s="85" t="str">
        <f t="shared" si="15"/>
        <v>N/A</v>
      </c>
      <c r="BZ12" s="85"/>
      <c r="CA12" s="85" t="str">
        <f t="shared" si="0"/>
        <v>N/A</v>
      </c>
      <c r="CB12" s="85"/>
      <c r="CC12" s="85" t="str">
        <f t="shared" si="16"/>
        <v>N/A</v>
      </c>
      <c r="CD12" s="85"/>
      <c r="CE12" s="85" t="str">
        <f t="shared" si="17"/>
        <v>N/A</v>
      </c>
      <c r="CF12" s="85"/>
      <c r="CG12" s="85" t="str">
        <f t="shared" si="1"/>
        <v>N/A</v>
      </c>
      <c r="CH12" s="85"/>
    </row>
    <row r="13" spans="1:86" s="412" customFormat="1" ht="15" customHeight="1">
      <c r="A13" s="230"/>
      <c r="B13" s="397">
        <v>256</v>
      </c>
      <c r="C13" s="279">
        <v>5</v>
      </c>
      <c r="D13" s="414" t="s">
        <v>474</v>
      </c>
      <c r="E13" s="279" t="s">
        <v>372</v>
      </c>
      <c r="F13" s="644"/>
      <c r="G13" s="876"/>
      <c r="H13" s="644"/>
      <c r="I13" s="876"/>
      <c r="J13" s="644"/>
      <c r="K13" s="876"/>
      <c r="L13" s="644"/>
      <c r="M13" s="876"/>
      <c r="N13" s="644"/>
      <c r="O13" s="876"/>
      <c r="P13" s="644"/>
      <c r="Q13" s="876"/>
      <c r="R13" s="644"/>
      <c r="S13" s="876"/>
      <c r="T13" s="644"/>
      <c r="U13" s="876"/>
      <c r="V13" s="644"/>
      <c r="W13" s="876"/>
      <c r="X13" s="644"/>
      <c r="Y13" s="876"/>
      <c r="Z13" s="644"/>
      <c r="AA13" s="876"/>
      <c r="AB13" s="644"/>
      <c r="AC13" s="876"/>
      <c r="AD13" s="644"/>
      <c r="AE13" s="876"/>
      <c r="AF13" s="644"/>
      <c r="AG13" s="876"/>
      <c r="AH13" s="644"/>
      <c r="AI13" s="876"/>
      <c r="AJ13" s="644"/>
      <c r="AK13" s="876"/>
      <c r="AL13" s="644"/>
      <c r="AM13" s="876"/>
      <c r="AN13" s="644"/>
      <c r="AO13" s="876"/>
      <c r="AP13" s="644"/>
      <c r="AQ13" s="876"/>
      <c r="AS13" s="233"/>
      <c r="AT13" s="87">
        <v>5</v>
      </c>
      <c r="AU13" s="415" t="s">
        <v>474</v>
      </c>
      <c r="AV13" s="87" t="s">
        <v>372</v>
      </c>
      <c r="AW13" s="85" t="s">
        <v>99</v>
      </c>
      <c r="AX13" s="268"/>
      <c r="AY13" s="85" t="str">
        <f t="shared" si="2"/>
        <v>N/A</v>
      </c>
      <c r="AZ13" s="268"/>
      <c r="BA13" s="85" t="str">
        <f t="shared" si="3"/>
        <v>N/A</v>
      </c>
      <c r="BB13" s="85"/>
      <c r="BC13" s="85" t="str">
        <f t="shared" si="4"/>
        <v>N/A</v>
      </c>
      <c r="BD13" s="85"/>
      <c r="BE13" s="85" t="str">
        <f t="shared" si="5"/>
        <v>N/A</v>
      </c>
      <c r="BF13" s="85"/>
      <c r="BG13" s="85" t="str">
        <f t="shared" si="6"/>
        <v>N/A</v>
      </c>
      <c r="BH13" s="85"/>
      <c r="BI13" s="85" t="str">
        <f t="shared" si="7"/>
        <v>N/A</v>
      </c>
      <c r="BJ13" s="85"/>
      <c r="BK13" s="85" t="str">
        <f t="shared" si="8"/>
        <v>N/A</v>
      </c>
      <c r="BL13" s="85"/>
      <c r="BM13" s="85" t="str">
        <f t="shared" si="9"/>
        <v>N/A</v>
      </c>
      <c r="BN13" s="85"/>
      <c r="BO13" s="85" t="str">
        <f t="shared" si="10"/>
        <v>N/A</v>
      </c>
      <c r="BP13" s="85"/>
      <c r="BQ13" s="85" t="str">
        <f t="shared" si="11"/>
        <v>N/A</v>
      </c>
      <c r="BR13" s="85"/>
      <c r="BS13" s="85" t="str">
        <f t="shared" si="12"/>
        <v>N/A</v>
      </c>
      <c r="BT13" s="85"/>
      <c r="BU13" s="85" t="str">
        <f t="shared" si="13"/>
        <v>N/A</v>
      </c>
      <c r="BV13" s="85"/>
      <c r="BW13" s="85" t="str">
        <f t="shared" si="14"/>
        <v>N/A</v>
      </c>
      <c r="BX13" s="85"/>
      <c r="BY13" s="85" t="str">
        <f t="shared" si="15"/>
        <v>N/A</v>
      </c>
      <c r="BZ13" s="85"/>
      <c r="CA13" s="85" t="str">
        <f t="shared" si="0"/>
        <v>N/A</v>
      </c>
      <c r="CB13" s="85"/>
      <c r="CC13" s="85" t="str">
        <f t="shared" si="16"/>
        <v>N/A</v>
      </c>
      <c r="CD13" s="85"/>
      <c r="CE13" s="85" t="str">
        <f t="shared" si="17"/>
        <v>N/A</v>
      </c>
      <c r="CF13" s="85"/>
      <c r="CG13" s="85" t="str">
        <f t="shared" si="1"/>
        <v>N/A</v>
      </c>
      <c r="CH13" s="85"/>
    </row>
    <row r="14" spans="1:86" s="412" customFormat="1" ht="15" customHeight="1">
      <c r="A14" s="230"/>
      <c r="B14" s="397">
        <v>257</v>
      </c>
      <c r="C14" s="279">
        <v>6</v>
      </c>
      <c r="D14" s="414" t="s">
        <v>139</v>
      </c>
      <c r="E14" s="279" t="s">
        <v>372</v>
      </c>
      <c r="F14" s="644"/>
      <c r="G14" s="876"/>
      <c r="H14" s="644"/>
      <c r="I14" s="876"/>
      <c r="J14" s="644"/>
      <c r="K14" s="876"/>
      <c r="L14" s="644"/>
      <c r="M14" s="876"/>
      <c r="N14" s="644"/>
      <c r="O14" s="876"/>
      <c r="P14" s="644"/>
      <c r="Q14" s="876"/>
      <c r="R14" s="644"/>
      <c r="S14" s="876"/>
      <c r="T14" s="644"/>
      <c r="U14" s="876"/>
      <c r="V14" s="644"/>
      <c r="W14" s="876"/>
      <c r="X14" s="644"/>
      <c r="Y14" s="876"/>
      <c r="Z14" s="644"/>
      <c r="AA14" s="876"/>
      <c r="AB14" s="644"/>
      <c r="AC14" s="876"/>
      <c r="AD14" s="644"/>
      <c r="AE14" s="876"/>
      <c r="AF14" s="644"/>
      <c r="AG14" s="876"/>
      <c r="AH14" s="644"/>
      <c r="AI14" s="876"/>
      <c r="AJ14" s="644"/>
      <c r="AK14" s="876"/>
      <c r="AL14" s="644"/>
      <c r="AM14" s="876"/>
      <c r="AN14" s="644"/>
      <c r="AO14" s="876"/>
      <c r="AP14" s="644"/>
      <c r="AQ14" s="876"/>
      <c r="AS14" s="233"/>
      <c r="AT14" s="87">
        <v>6</v>
      </c>
      <c r="AU14" s="415" t="s">
        <v>139</v>
      </c>
      <c r="AV14" s="87" t="s">
        <v>372</v>
      </c>
      <c r="AW14" s="85" t="s">
        <v>99</v>
      </c>
      <c r="AX14" s="268"/>
      <c r="AY14" s="85" t="str">
        <f t="shared" si="2"/>
        <v>N/A</v>
      </c>
      <c r="AZ14" s="268"/>
      <c r="BA14" s="85" t="str">
        <f t="shared" si="3"/>
        <v>N/A</v>
      </c>
      <c r="BB14" s="85"/>
      <c r="BC14" s="85" t="str">
        <f t="shared" si="4"/>
        <v>N/A</v>
      </c>
      <c r="BD14" s="85"/>
      <c r="BE14" s="85" t="str">
        <f t="shared" si="5"/>
        <v>N/A</v>
      </c>
      <c r="BF14" s="85"/>
      <c r="BG14" s="85" t="str">
        <f t="shared" si="6"/>
        <v>N/A</v>
      </c>
      <c r="BH14" s="85"/>
      <c r="BI14" s="85" t="str">
        <f t="shared" si="7"/>
        <v>N/A</v>
      </c>
      <c r="BJ14" s="85"/>
      <c r="BK14" s="85" t="str">
        <f t="shared" si="8"/>
        <v>N/A</v>
      </c>
      <c r="BL14" s="85"/>
      <c r="BM14" s="85" t="str">
        <f t="shared" si="9"/>
        <v>N/A</v>
      </c>
      <c r="BN14" s="85"/>
      <c r="BO14" s="85" t="str">
        <f t="shared" si="10"/>
        <v>N/A</v>
      </c>
      <c r="BP14" s="85"/>
      <c r="BQ14" s="85" t="str">
        <f t="shared" si="11"/>
        <v>N/A</v>
      </c>
      <c r="BR14" s="85"/>
      <c r="BS14" s="85" t="str">
        <f t="shared" si="12"/>
        <v>N/A</v>
      </c>
      <c r="BT14" s="85"/>
      <c r="BU14" s="85" t="str">
        <f t="shared" si="13"/>
        <v>N/A</v>
      </c>
      <c r="BV14" s="85"/>
      <c r="BW14" s="85" t="str">
        <f t="shared" si="14"/>
        <v>N/A</v>
      </c>
      <c r="BX14" s="85"/>
      <c r="BY14" s="85" t="str">
        <f t="shared" si="15"/>
        <v>N/A</v>
      </c>
      <c r="BZ14" s="85"/>
      <c r="CA14" s="85" t="str">
        <f t="shared" si="0"/>
        <v>N/A</v>
      </c>
      <c r="CB14" s="85"/>
      <c r="CC14" s="85" t="str">
        <f t="shared" si="16"/>
        <v>N/A</v>
      </c>
      <c r="CD14" s="85"/>
      <c r="CE14" s="85" t="str">
        <f t="shared" si="17"/>
        <v>N/A</v>
      </c>
      <c r="CF14" s="85"/>
      <c r="CG14" s="85" t="str">
        <f t="shared" si="1"/>
        <v>N/A</v>
      </c>
      <c r="CH14" s="85"/>
    </row>
    <row r="15" spans="1:86" s="412" customFormat="1" ht="15" customHeight="1">
      <c r="A15" s="230"/>
      <c r="B15" s="397">
        <v>258</v>
      </c>
      <c r="C15" s="279">
        <v>7</v>
      </c>
      <c r="D15" s="414" t="s">
        <v>614</v>
      </c>
      <c r="E15" s="279" t="s">
        <v>372</v>
      </c>
      <c r="F15" s="644"/>
      <c r="G15" s="876"/>
      <c r="H15" s="644"/>
      <c r="I15" s="876"/>
      <c r="J15" s="644"/>
      <c r="K15" s="876"/>
      <c r="L15" s="644"/>
      <c r="M15" s="876"/>
      <c r="N15" s="644"/>
      <c r="O15" s="876"/>
      <c r="P15" s="644"/>
      <c r="Q15" s="876"/>
      <c r="R15" s="644"/>
      <c r="S15" s="876"/>
      <c r="T15" s="644"/>
      <c r="U15" s="876"/>
      <c r="V15" s="644"/>
      <c r="W15" s="876"/>
      <c r="X15" s="644"/>
      <c r="Y15" s="876"/>
      <c r="Z15" s="644"/>
      <c r="AA15" s="876"/>
      <c r="AB15" s="644"/>
      <c r="AC15" s="876"/>
      <c r="AD15" s="644"/>
      <c r="AE15" s="876"/>
      <c r="AF15" s="644"/>
      <c r="AG15" s="876"/>
      <c r="AH15" s="644"/>
      <c r="AI15" s="876"/>
      <c r="AJ15" s="644"/>
      <c r="AK15" s="876"/>
      <c r="AL15" s="644"/>
      <c r="AM15" s="876"/>
      <c r="AN15" s="644"/>
      <c r="AO15" s="876"/>
      <c r="AP15" s="644"/>
      <c r="AQ15" s="876"/>
      <c r="AS15" s="233"/>
      <c r="AT15" s="87">
        <v>7</v>
      </c>
      <c r="AU15" s="415" t="s">
        <v>614</v>
      </c>
      <c r="AV15" s="87" t="s">
        <v>372</v>
      </c>
      <c r="AW15" s="85" t="s">
        <v>99</v>
      </c>
      <c r="AX15" s="268"/>
      <c r="AY15" s="85" t="str">
        <f t="shared" si="2"/>
        <v>N/A</v>
      </c>
      <c r="AZ15" s="268"/>
      <c r="BA15" s="85" t="str">
        <f t="shared" si="3"/>
        <v>N/A</v>
      </c>
      <c r="BB15" s="85"/>
      <c r="BC15" s="85" t="str">
        <f t="shared" si="4"/>
        <v>N/A</v>
      </c>
      <c r="BD15" s="85"/>
      <c r="BE15" s="85" t="str">
        <f t="shared" si="5"/>
        <v>N/A</v>
      </c>
      <c r="BF15" s="85"/>
      <c r="BG15" s="85" t="str">
        <f t="shared" si="6"/>
        <v>N/A</v>
      </c>
      <c r="BH15" s="85"/>
      <c r="BI15" s="85" t="str">
        <f t="shared" si="7"/>
        <v>N/A</v>
      </c>
      <c r="BJ15" s="85"/>
      <c r="BK15" s="85" t="str">
        <f t="shared" si="8"/>
        <v>N/A</v>
      </c>
      <c r="BL15" s="85"/>
      <c r="BM15" s="85" t="str">
        <f t="shared" si="9"/>
        <v>N/A</v>
      </c>
      <c r="BN15" s="85"/>
      <c r="BO15" s="85" t="str">
        <f t="shared" si="10"/>
        <v>N/A</v>
      </c>
      <c r="BP15" s="85"/>
      <c r="BQ15" s="85" t="str">
        <f t="shared" si="11"/>
        <v>N/A</v>
      </c>
      <c r="BR15" s="85"/>
      <c r="BS15" s="85" t="str">
        <f t="shared" si="12"/>
        <v>N/A</v>
      </c>
      <c r="BT15" s="85"/>
      <c r="BU15" s="85" t="str">
        <f t="shared" si="13"/>
        <v>N/A</v>
      </c>
      <c r="BV15" s="85"/>
      <c r="BW15" s="85" t="str">
        <f t="shared" si="14"/>
        <v>N/A</v>
      </c>
      <c r="BX15" s="85"/>
      <c r="BY15" s="85" t="str">
        <f t="shared" si="15"/>
        <v>N/A</v>
      </c>
      <c r="BZ15" s="85"/>
      <c r="CA15" s="85" t="str">
        <f t="shared" si="0"/>
        <v>N/A</v>
      </c>
      <c r="CB15" s="85"/>
      <c r="CC15" s="85" t="str">
        <f t="shared" si="16"/>
        <v>N/A</v>
      </c>
      <c r="CD15" s="85"/>
      <c r="CE15" s="85" t="str">
        <f t="shared" si="17"/>
        <v>N/A</v>
      </c>
      <c r="CF15" s="85"/>
      <c r="CG15" s="85" t="str">
        <f t="shared" si="1"/>
        <v>N/A</v>
      </c>
      <c r="CH15" s="85"/>
    </row>
    <row r="16" spans="1:86" s="412" customFormat="1" ht="15" customHeight="1">
      <c r="A16" s="230"/>
      <c r="B16" s="397">
        <v>259</v>
      </c>
      <c r="C16" s="279">
        <v>8</v>
      </c>
      <c r="D16" s="416" t="s">
        <v>204</v>
      </c>
      <c r="E16" s="279" t="s">
        <v>372</v>
      </c>
      <c r="F16" s="644"/>
      <c r="G16" s="876"/>
      <c r="H16" s="644"/>
      <c r="I16" s="876"/>
      <c r="J16" s="644"/>
      <c r="K16" s="876"/>
      <c r="L16" s="644"/>
      <c r="M16" s="876"/>
      <c r="N16" s="644"/>
      <c r="O16" s="876"/>
      <c r="P16" s="644"/>
      <c r="Q16" s="876"/>
      <c r="R16" s="644"/>
      <c r="S16" s="876"/>
      <c r="T16" s="644"/>
      <c r="U16" s="876"/>
      <c r="V16" s="644"/>
      <c r="W16" s="876"/>
      <c r="X16" s="644"/>
      <c r="Y16" s="876"/>
      <c r="Z16" s="644"/>
      <c r="AA16" s="876"/>
      <c r="AB16" s="644"/>
      <c r="AC16" s="876"/>
      <c r="AD16" s="644"/>
      <c r="AE16" s="876"/>
      <c r="AF16" s="644"/>
      <c r="AG16" s="876"/>
      <c r="AH16" s="644"/>
      <c r="AI16" s="876"/>
      <c r="AJ16" s="644"/>
      <c r="AK16" s="876"/>
      <c r="AL16" s="644"/>
      <c r="AM16" s="876"/>
      <c r="AN16" s="644"/>
      <c r="AO16" s="876"/>
      <c r="AP16" s="644"/>
      <c r="AQ16" s="876"/>
      <c r="AS16" s="233"/>
      <c r="AT16" s="87">
        <v>8</v>
      </c>
      <c r="AU16" s="417" t="s">
        <v>204</v>
      </c>
      <c r="AV16" s="87" t="s">
        <v>372</v>
      </c>
      <c r="AW16" s="85" t="s">
        <v>99</v>
      </c>
      <c r="AX16" s="268"/>
      <c r="AY16" s="85" t="str">
        <f t="shared" si="2"/>
        <v>N/A</v>
      </c>
      <c r="AZ16" s="268"/>
      <c r="BA16" s="85" t="str">
        <f t="shared" si="3"/>
        <v>N/A</v>
      </c>
      <c r="BB16" s="85"/>
      <c r="BC16" s="85" t="str">
        <f t="shared" si="4"/>
        <v>N/A</v>
      </c>
      <c r="BD16" s="85"/>
      <c r="BE16" s="85" t="str">
        <f t="shared" si="5"/>
        <v>N/A</v>
      </c>
      <c r="BF16" s="85"/>
      <c r="BG16" s="85" t="str">
        <f t="shared" si="6"/>
        <v>N/A</v>
      </c>
      <c r="BH16" s="85"/>
      <c r="BI16" s="85" t="str">
        <f t="shared" si="7"/>
        <v>N/A</v>
      </c>
      <c r="BJ16" s="85"/>
      <c r="BK16" s="85" t="str">
        <f t="shared" si="8"/>
        <v>N/A</v>
      </c>
      <c r="BL16" s="85"/>
      <c r="BM16" s="85" t="str">
        <f t="shared" si="9"/>
        <v>N/A</v>
      </c>
      <c r="BN16" s="85"/>
      <c r="BO16" s="85" t="str">
        <f t="shared" si="10"/>
        <v>N/A</v>
      </c>
      <c r="BP16" s="85"/>
      <c r="BQ16" s="85" t="str">
        <f t="shared" si="11"/>
        <v>N/A</v>
      </c>
      <c r="BR16" s="85"/>
      <c r="BS16" s="85" t="str">
        <f t="shared" si="12"/>
        <v>N/A</v>
      </c>
      <c r="BT16" s="85"/>
      <c r="BU16" s="85" t="str">
        <f t="shared" si="13"/>
        <v>N/A</v>
      </c>
      <c r="BV16" s="85"/>
      <c r="BW16" s="85" t="str">
        <f t="shared" si="14"/>
        <v>N/A</v>
      </c>
      <c r="BX16" s="85"/>
      <c r="BY16" s="85" t="str">
        <f t="shared" si="15"/>
        <v>N/A</v>
      </c>
      <c r="BZ16" s="85"/>
      <c r="CA16" s="85" t="str">
        <f t="shared" si="0"/>
        <v>N/A</v>
      </c>
      <c r="CB16" s="85"/>
      <c r="CC16" s="85" t="str">
        <f t="shared" si="16"/>
        <v>N/A</v>
      </c>
      <c r="CD16" s="85"/>
      <c r="CE16" s="85" t="str">
        <f t="shared" si="17"/>
        <v>N/A</v>
      </c>
      <c r="CF16" s="85"/>
      <c r="CG16" s="85" t="str">
        <f t="shared" si="1"/>
        <v>N/A</v>
      </c>
      <c r="CH16" s="85"/>
    </row>
    <row r="17" spans="1:86" s="412" customFormat="1" ht="15" customHeight="1">
      <c r="A17" s="230"/>
      <c r="B17" s="397">
        <v>260</v>
      </c>
      <c r="C17" s="279">
        <v>9</v>
      </c>
      <c r="D17" s="414" t="s">
        <v>391</v>
      </c>
      <c r="E17" s="279" t="s">
        <v>372</v>
      </c>
      <c r="F17" s="644"/>
      <c r="G17" s="876"/>
      <c r="H17" s="644"/>
      <c r="I17" s="876"/>
      <c r="J17" s="644"/>
      <c r="K17" s="876"/>
      <c r="L17" s="644"/>
      <c r="M17" s="876"/>
      <c r="N17" s="644"/>
      <c r="O17" s="876"/>
      <c r="P17" s="644"/>
      <c r="Q17" s="876"/>
      <c r="R17" s="644"/>
      <c r="S17" s="876"/>
      <c r="T17" s="644"/>
      <c r="U17" s="876"/>
      <c r="V17" s="644"/>
      <c r="W17" s="876"/>
      <c r="X17" s="644"/>
      <c r="Y17" s="876"/>
      <c r="Z17" s="644"/>
      <c r="AA17" s="876"/>
      <c r="AB17" s="644"/>
      <c r="AC17" s="876"/>
      <c r="AD17" s="644"/>
      <c r="AE17" s="876"/>
      <c r="AF17" s="644"/>
      <c r="AG17" s="876"/>
      <c r="AH17" s="644"/>
      <c r="AI17" s="876"/>
      <c r="AJ17" s="644"/>
      <c r="AK17" s="876"/>
      <c r="AL17" s="644"/>
      <c r="AM17" s="876"/>
      <c r="AN17" s="644"/>
      <c r="AO17" s="876"/>
      <c r="AP17" s="644"/>
      <c r="AQ17" s="876"/>
      <c r="AS17" s="233"/>
      <c r="AT17" s="87">
        <v>9</v>
      </c>
      <c r="AU17" s="415" t="s">
        <v>391</v>
      </c>
      <c r="AV17" s="87" t="s">
        <v>372</v>
      </c>
      <c r="AW17" s="114" t="s">
        <v>99</v>
      </c>
      <c r="AX17" s="268"/>
      <c r="AY17" s="85" t="str">
        <f t="shared" si="2"/>
        <v>N/A</v>
      </c>
      <c r="AZ17" s="268"/>
      <c r="BA17" s="85" t="str">
        <f t="shared" si="3"/>
        <v>N/A</v>
      </c>
      <c r="BB17" s="85"/>
      <c r="BC17" s="85" t="str">
        <f t="shared" si="4"/>
        <v>N/A</v>
      </c>
      <c r="BD17" s="85"/>
      <c r="BE17" s="85" t="str">
        <f t="shared" si="5"/>
        <v>N/A</v>
      </c>
      <c r="BF17" s="85"/>
      <c r="BG17" s="85" t="str">
        <f t="shared" si="6"/>
        <v>N/A</v>
      </c>
      <c r="BH17" s="85"/>
      <c r="BI17" s="85" t="str">
        <f t="shared" si="7"/>
        <v>N/A</v>
      </c>
      <c r="BJ17" s="85"/>
      <c r="BK17" s="85" t="str">
        <f t="shared" si="8"/>
        <v>N/A</v>
      </c>
      <c r="BL17" s="85"/>
      <c r="BM17" s="85" t="str">
        <f t="shared" si="9"/>
        <v>N/A</v>
      </c>
      <c r="BN17" s="85"/>
      <c r="BO17" s="85" t="str">
        <f t="shared" si="10"/>
        <v>N/A</v>
      </c>
      <c r="BP17" s="85"/>
      <c r="BQ17" s="85" t="str">
        <f t="shared" si="11"/>
        <v>N/A</v>
      </c>
      <c r="BR17" s="85"/>
      <c r="BS17" s="85" t="str">
        <f t="shared" si="12"/>
        <v>N/A</v>
      </c>
      <c r="BT17" s="85"/>
      <c r="BU17" s="85" t="str">
        <f t="shared" si="13"/>
        <v>N/A</v>
      </c>
      <c r="BV17" s="85"/>
      <c r="BW17" s="85" t="str">
        <f t="shared" si="14"/>
        <v>N/A</v>
      </c>
      <c r="BX17" s="85"/>
      <c r="BY17" s="85" t="str">
        <f t="shared" si="15"/>
        <v>N/A</v>
      </c>
      <c r="BZ17" s="85"/>
      <c r="CA17" s="85" t="str">
        <f t="shared" si="0"/>
        <v>N/A</v>
      </c>
      <c r="CB17" s="85"/>
      <c r="CC17" s="85" t="str">
        <f t="shared" si="16"/>
        <v>N/A</v>
      </c>
      <c r="CD17" s="85"/>
      <c r="CE17" s="85" t="str">
        <f t="shared" si="17"/>
        <v>N/A</v>
      </c>
      <c r="CF17" s="85"/>
      <c r="CG17" s="85" t="str">
        <f t="shared" si="1"/>
        <v>N/A</v>
      </c>
      <c r="CH17" s="85"/>
    </row>
    <row r="18" spans="1:86" s="412" customFormat="1" ht="15" customHeight="1">
      <c r="A18" s="230"/>
      <c r="B18" s="397">
        <v>69</v>
      </c>
      <c r="C18" s="279">
        <v>10</v>
      </c>
      <c r="D18" s="398" t="s">
        <v>358</v>
      </c>
      <c r="E18" s="279" t="s">
        <v>372</v>
      </c>
      <c r="F18" s="644"/>
      <c r="G18" s="876"/>
      <c r="H18" s="644"/>
      <c r="I18" s="876"/>
      <c r="J18" s="644"/>
      <c r="K18" s="876"/>
      <c r="L18" s="644"/>
      <c r="M18" s="876"/>
      <c r="N18" s="644"/>
      <c r="O18" s="876"/>
      <c r="P18" s="644"/>
      <c r="Q18" s="876"/>
      <c r="R18" s="644"/>
      <c r="S18" s="876"/>
      <c r="T18" s="644"/>
      <c r="U18" s="876"/>
      <c r="V18" s="644"/>
      <c r="W18" s="876"/>
      <c r="X18" s="644"/>
      <c r="Y18" s="876"/>
      <c r="Z18" s="644"/>
      <c r="AA18" s="876"/>
      <c r="AB18" s="644"/>
      <c r="AC18" s="876"/>
      <c r="AD18" s="644"/>
      <c r="AE18" s="876"/>
      <c r="AF18" s="644"/>
      <c r="AG18" s="876"/>
      <c r="AH18" s="644"/>
      <c r="AI18" s="876"/>
      <c r="AJ18" s="644"/>
      <c r="AK18" s="876"/>
      <c r="AL18" s="644"/>
      <c r="AM18" s="876"/>
      <c r="AN18" s="644"/>
      <c r="AO18" s="876"/>
      <c r="AP18" s="644"/>
      <c r="AQ18" s="876"/>
      <c r="AS18" s="233"/>
      <c r="AT18" s="87">
        <v>10</v>
      </c>
      <c r="AU18" s="321" t="s">
        <v>358</v>
      </c>
      <c r="AV18" s="87" t="s">
        <v>372</v>
      </c>
      <c r="AW18" s="85" t="s">
        <v>99</v>
      </c>
      <c r="AX18" s="268"/>
      <c r="AY18" s="85" t="str">
        <f t="shared" si="2"/>
        <v>N/A</v>
      </c>
      <c r="AZ18" s="268"/>
      <c r="BA18" s="85" t="str">
        <f t="shared" si="3"/>
        <v>N/A</v>
      </c>
      <c r="BB18" s="85"/>
      <c r="BC18" s="85" t="str">
        <f t="shared" si="4"/>
        <v>N/A</v>
      </c>
      <c r="BD18" s="85"/>
      <c r="BE18" s="85" t="str">
        <f t="shared" si="5"/>
        <v>N/A</v>
      </c>
      <c r="BF18" s="85"/>
      <c r="BG18" s="85" t="str">
        <f t="shared" si="6"/>
        <v>N/A</v>
      </c>
      <c r="BH18" s="85"/>
      <c r="BI18" s="85" t="str">
        <f t="shared" si="7"/>
        <v>N/A</v>
      </c>
      <c r="BJ18" s="85"/>
      <c r="BK18" s="85" t="str">
        <f t="shared" si="8"/>
        <v>N/A</v>
      </c>
      <c r="BL18" s="85"/>
      <c r="BM18" s="85" t="str">
        <f t="shared" si="9"/>
        <v>N/A</v>
      </c>
      <c r="BN18" s="85"/>
      <c r="BO18" s="85" t="str">
        <f t="shared" si="10"/>
        <v>N/A</v>
      </c>
      <c r="BP18" s="85"/>
      <c r="BQ18" s="85" t="str">
        <f t="shared" si="11"/>
        <v>N/A</v>
      </c>
      <c r="BR18" s="85"/>
      <c r="BS18" s="85" t="str">
        <f t="shared" si="12"/>
        <v>N/A</v>
      </c>
      <c r="BT18" s="85"/>
      <c r="BU18" s="85" t="str">
        <f t="shared" si="13"/>
        <v>N/A</v>
      </c>
      <c r="BV18" s="85"/>
      <c r="BW18" s="85" t="str">
        <f t="shared" si="14"/>
        <v>N/A</v>
      </c>
      <c r="BX18" s="85"/>
      <c r="BY18" s="85" t="str">
        <f t="shared" si="15"/>
        <v>N/A</v>
      </c>
      <c r="BZ18" s="85"/>
      <c r="CA18" s="85" t="str">
        <f t="shared" si="0"/>
        <v>N/A</v>
      </c>
      <c r="CB18" s="85"/>
      <c r="CC18" s="85" t="str">
        <f t="shared" si="16"/>
        <v>N/A</v>
      </c>
      <c r="CD18" s="85"/>
      <c r="CE18" s="85" t="str">
        <f t="shared" si="17"/>
        <v>N/A</v>
      </c>
      <c r="CF18" s="85"/>
      <c r="CG18" s="85" t="str">
        <f t="shared" si="1"/>
        <v>N/A</v>
      </c>
      <c r="CH18" s="85"/>
    </row>
    <row r="19" spans="1:86" s="412" customFormat="1" ht="15" customHeight="1">
      <c r="A19" s="230"/>
      <c r="B19" s="397">
        <v>78</v>
      </c>
      <c r="C19" s="279">
        <v>11</v>
      </c>
      <c r="D19" s="398" t="s">
        <v>628</v>
      </c>
      <c r="E19" s="279" t="s">
        <v>372</v>
      </c>
      <c r="F19" s="644"/>
      <c r="G19" s="876"/>
      <c r="H19" s="644"/>
      <c r="I19" s="876"/>
      <c r="J19" s="644"/>
      <c r="K19" s="876"/>
      <c r="L19" s="644"/>
      <c r="M19" s="876"/>
      <c r="N19" s="644"/>
      <c r="O19" s="876"/>
      <c r="P19" s="644"/>
      <c r="Q19" s="876"/>
      <c r="R19" s="644"/>
      <c r="S19" s="876"/>
      <c r="T19" s="644"/>
      <c r="U19" s="876"/>
      <c r="V19" s="644"/>
      <c r="W19" s="876"/>
      <c r="X19" s="644"/>
      <c r="Y19" s="876"/>
      <c r="Z19" s="644"/>
      <c r="AA19" s="876"/>
      <c r="AB19" s="644"/>
      <c r="AC19" s="876"/>
      <c r="AD19" s="644"/>
      <c r="AE19" s="876"/>
      <c r="AF19" s="644"/>
      <c r="AG19" s="876"/>
      <c r="AH19" s="644"/>
      <c r="AI19" s="876"/>
      <c r="AJ19" s="644"/>
      <c r="AK19" s="876"/>
      <c r="AL19" s="644"/>
      <c r="AM19" s="876"/>
      <c r="AN19" s="644"/>
      <c r="AO19" s="876"/>
      <c r="AP19" s="644"/>
      <c r="AQ19" s="876"/>
      <c r="AS19" s="233"/>
      <c r="AT19" s="87">
        <v>11</v>
      </c>
      <c r="AU19" s="321" t="s">
        <v>628</v>
      </c>
      <c r="AV19" s="87" t="s">
        <v>372</v>
      </c>
      <c r="AW19" s="85" t="s">
        <v>99</v>
      </c>
      <c r="AX19" s="268"/>
      <c r="AY19" s="85" t="str">
        <f t="shared" si="2"/>
        <v>N/A</v>
      </c>
      <c r="AZ19" s="268"/>
      <c r="BA19" s="85" t="str">
        <f t="shared" si="3"/>
        <v>N/A</v>
      </c>
      <c r="BB19" s="85"/>
      <c r="BC19" s="85" t="str">
        <f t="shared" si="4"/>
        <v>N/A</v>
      </c>
      <c r="BD19" s="85"/>
      <c r="BE19" s="85" t="str">
        <f t="shared" si="5"/>
        <v>N/A</v>
      </c>
      <c r="BF19" s="85"/>
      <c r="BG19" s="85" t="str">
        <f t="shared" si="6"/>
        <v>N/A</v>
      </c>
      <c r="BH19" s="85"/>
      <c r="BI19" s="85" t="str">
        <f t="shared" si="7"/>
        <v>N/A</v>
      </c>
      <c r="BJ19" s="85"/>
      <c r="BK19" s="85" t="str">
        <f t="shared" si="8"/>
        <v>N/A</v>
      </c>
      <c r="BL19" s="85"/>
      <c r="BM19" s="85" t="str">
        <f t="shared" si="9"/>
        <v>N/A</v>
      </c>
      <c r="BN19" s="85"/>
      <c r="BO19" s="85" t="str">
        <f t="shared" si="10"/>
        <v>N/A</v>
      </c>
      <c r="BP19" s="85"/>
      <c r="BQ19" s="85" t="str">
        <f t="shared" si="11"/>
        <v>N/A</v>
      </c>
      <c r="BR19" s="85"/>
      <c r="BS19" s="85" t="str">
        <f t="shared" si="12"/>
        <v>N/A</v>
      </c>
      <c r="BT19" s="85"/>
      <c r="BU19" s="85" t="str">
        <f t="shared" si="13"/>
        <v>N/A</v>
      </c>
      <c r="BV19" s="85"/>
      <c r="BW19" s="85" t="str">
        <f t="shared" si="14"/>
        <v>N/A</v>
      </c>
      <c r="BX19" s="85"/>
      <c r="BY19" s="85" t="str">
        <f t="shared" si="15"/>
        <v>N/A</v>
      </c>
      <c r="BZ19" s="85"/>
      <c r="CA19" s="85" t="str">
        <f t="shared" si="0"/>
        <v>N/A</v>
      </c>
      <c r="CB19" s="85"/>
      <c r="CC19" s="85" t="str">
        <f t="shared" si="16"/>
        <v>N/A</v>
      </c>
      <c r="CD19" s="85"/>
      <c r="CE19" s="85" t="str">
        <f t="shared" si="17"/>
        <v>N/A</v>
      </c>
      <c r="CF19" s="85"/>
      <c r="CG19" s="85" t="str">
        <f t="shared" si="1"/>
        <v>N/A</v>
      </c>
      <c r="CH19" s="85"/>
    </row>
    <row r="20" spans="1:86" s="412" customFormat="1" ht="15" customHeight="1">
      <c r="A20" s="230"/>
      <c r="B20" s="397">
        <v>2434</v>
      </c>
      <c r="C20" s="279">
        <v>12</v>
      </c>
      <c r="D20" s="398" t="s">
        <v>622</v>
      </c>
      <c r="E20" s="279" t="s">
        <v>372</v>
      </c>
      <c r="F20" s="644"/>
      <c r="G20" s="876"/>
      <c r="H20" s="644"/>
      <c r="I20" s="876"/>
      <c r="J20" s="644"/>
      <c r="K20" s="876"/>
      <c r="L20" s="644"/>
      <c r="M20" s="876"/>
      <c r="N20" s="644"/>
      <c r="O20" s="876"/>
      <c r="P20" s="644"/>
      <c r="Q20" s="876"/>
      <c r="R20" s="644"/>
      <c r="S20" s="876"/>
      <c r="T20" s="644"/>
      <c r="U20" s="876"/>
      <c r="V20" s="644"/>
      <c r="W20" s="876"/>
      <c r="X20" s="644"/>
      <c r="Y20" s="876"/>
      <c r="Z20" s="644"/>
      <c r="AA20" s="876"/>
      <c r="AB20" s="644"/>
      <c r="AC20" s="876"/>
      <c r="AD20" s="644"/>
      <c r="AE20" s="876"/>
      <c r="AF20" s="644"/>
      <c r="AG20" s="876"/>
      <c r="AH20" s="644"/>
      <c r="AI20" s="876"/>
      <c r="AJ20" s="644"/>
      <c r="AK20" s="876"/>
      <c r="AL20" s="644"/>
      <c r="AM20" s="876"/>
      <c r="AN20" s="644"/>
      <c r="AO20" s="876"/>
      <c r="AP20" s="644"/>
      <c r="AQ20" s="876"/>
      <c r="AS20" s="233"/>
      <c r="AT20" s="87">
        <v>12</v>
      </c>
      <c r="AU20" s="321" t="s">
        <v>622</v>
      </c>
      <c r="AV20" s="87" t="s">
        <v>372</v>
      </c>
      <c r="AW20" s="85" t="s">
        <v>99</v>
      </c>
      <c r="AX20" s="268"/>
      <c r="AY20" s="85" t="str">
        <f t="shared" si="2"/>
        <v>N/A</v>
      </c>
      <c r="AZ20" s="268"/>
      <c r="BA20" s="85" t="str">
        <f t="shared" si="3"/>
        <v>N/A</v>
      </c>
      <c r="BB20" s="85"/>
      <c r="BC20" s="85" t="str">
        <f t="shared" si="4"/>
        <v>N/A</v>
      </c>
      <c r="BD20" s="85"/>
      <c r="BE20" s="85" t="str">
        <f t="shared" si="5"/>
        <v>N/A</v>
      </c>
      <c r="BF20" s="85"/>
      <c r="BG20" s="85" t="str">
        <f t="shared" si="6"/>
        <v>N/A</v>
      </c>
      <c r="BH20" s="85"/>
      <c r="BI20" s="85" t="str">
        <f t="shared" si="7"/>
        <v>N/A</v>
      </c>
      <c r="BJ20" s="85"/>
      <c r="BK20" s="85" t="str">
        <f t="shared" si="8"/>
        <v>N/A</v>
      </c>
      <c r="BL20" s="85"/>
      <c r="BM20" s="85" t="str">
        <f t="shared" si="9"/>
        <v>N/A</v>
      </c>
      <c r="BN20" s="85"/>
      <c r="BO20" s="85" t="str">
        <f t="shared" si="10"/>
        <v>N/A</v>
      </c>
      <c r="BP20" s="85"/>
      <c r="BQ20" s="85" t="str">
        <f t="shared" si="11"/>
        <v>N/A</v>
      </c>
      <c r="BR20" s="85"/>
      <c r="BS20" s="85" t="str">
        <f t="shared" si="12"/>
        <v>N/A</v>
      </c>
      <c r="BT20" s="85"/>
      <c r="BU20" s="85" t="str">
        <f t="shared" si="13"/>
        <v>N/A</v>
      </c>
      <c r="BV20" s="85"/>
      <c r="BW20" s="85" t="str">
        <f t="shared" si="14"/>
        <v>N/A</v>
      </c>
      <c r="BX20" s="85"/>
      <c r="BY20" s="85" t="str">
        <f t="shared" si="15"/>
        <v>N/A</v>
      </c>
      <c r="BZ20" s="85"/>
      <c r="CA20" s="85" t="str">
        <f t="shared" si="0"/>
        <v>N/A</v>
      </c>
      <c r="CB20" s="85"/>
      <c r="CC20" s="85" t="str">
        <f t="shared" si="16"/>
        <v>N/A</v>
      </c>
      <c r="CD20" s="85"/>
      <c r="CE20" s="85" t="str">
        <f t="shared" si="17"/>
        <v>N/A</v>
      </c>
      <c r="CF20" s="85"/>
      <c r="CG20" s="85" t="str">
        <f t="shared" si="1"/>
        <v>N/A</v>
      </c>
      <c r="CH20" s="85"/>
    </row>
    <row r="21" spans="1:86" s="412" customFormat="1" ht="15" customHeight="1">
      <c r="A21" s="230"/>
      <c r="B21" s="397">
        <v>2435</v>
      </c>
      <c r="C21" s="279">
        <v>13</v>
      </c>
      <c r="D21" s="398" t="s">
        <v>104</v>
      </c>
      <c r="E21" s="279" t="s">
        <v>372</v>
      </c>
      <c r="F21" s="644"/>
      <c r="G21" s="876"/>
      <c r="H21" s="644"/>
      <c r="I21" s="876"/>
      <c r="J21" s="644"/>
      <c r="K21" s="876"/>
      <c r="L21" s="644"/>
      <c r="M21" s="876"/>
      <c r="N21" s="644"/>
      <c r="O21" s="876"/>
      <c r="P21" s="644"/>
      <c r="Q21" s="876"/>
      <c r="R21" s="644"/>
      <c r="S21" s="876"/>
      <c r="T21" s="644"/>
      <c r="U21" s="876"/>
      <c r="V21" s="644"/>
      <c r="W21" s="876"/>
      <c r="X21" s="644"/>
      <c r="Y21" s="876"/>
      <c r="Z21" s="644"/>
      <c r="AA21" s="876"/>
      <c r="AB21" s="644"/>
      <c r="AC21" s="876"/>
      <c r="AD21" s="644"/>
      <c r="AE21" s="876"/>
      <c r="AF21" s="644"/>
      <c r="AG21" s="876"/>
      <c r="AH21" s="644"/>
      <c r="AI21" s="876"/>
      <c r="AJ21" s="644"/>
      <c r="AK21" s="876"/>
      <c r="AL21" s="644"/>
      <c r="AM21" s="876"/>
      <c r="AN21" s="644"/>
      <c r="AO21" s="876"/>
      <c r="AP21" s="644"/>
      <c r="AQ21" s="876"/>
      <c r="AS21" s="233"/>
      <c r="AT21" s="87">
        <v>13</v>
      </c>
      <c r="AU21" s="321" t="s">
        <v>104</v>
      </c>
      <c r="AV21" s="87" t="s">
        <v>372</v>
      </c>
      <c r="AW21" s="85" t="s">
        <v>99</v>
      </c>
      <c r="AX21" s="268"/>
      <c r="AY21" s="85" t="str">
        <f t="shared" si="2"/>
        <v>N/A</v>
      </c>
      <c r="AZ21" s="268"/>
      <c r="BA21" s="85" t="str">
        <f t="shared" si="3"/>
        <v>N/A</v>
      </c>
      <c r="BB21" s="85"/>
      <c r="BC21" s="85" t="str">
        <f t="shared" si="4"/>
        <v>N/A</v>
      </c>
      <c r="BD21" s="85"/>
      <c r="BE21" s="85" t="str">
        <f t="shared" si="5"/>
        <v>N/A</v>
      </c>
      <c r="BF21" s="85"/>
      <c r="BG21" s="85" t="str">
        <f t="shared" si="6"/>
        <v>N/A</v>
      </c>
      <c r="BH21" s="85"/>
      <c r="BI21" s="85" t="str">
        <f t="shared" si="7"/>
        <v>N/A</v>
      </c>
      <c r="BJ21" s="85"/>
      <c r="BK21" s="85" t="str">
        <f t="shared" si="8"/>
        <v>N/A</v>
      </c>
      <c r="BL21" s="85"/>
      <c r="BM21" s="85" t="str">
        <f t="shared" si="9"/>
        <v>N/A</v>
      </c>
      <c r="BN21" s="85"/>
      <c r="BO21" s="85" t="str">
        <f t="shared" si="10"/>
        <v>N/A</v>
      </c>
      <c r="BP21" s="85"/>
      <c r="BQ21" s="85" t="str">
        <f t="shared" si="11"/>
        <v>N/A</v>
      </c>
      <c r="BR21" s="85"/>
      <c r="BS21" s="85" t="str">
        <f t="shared" si="12"/>
        <v>N/A</v>
      </c>
      <c r="BT21" s="85"/>
      <c r="BU21" s="85" t="str">
        <f t="shared" si="13"/>
        <v>N/A</v>
      </c>
      <c r="BV21" s="85"/>
      <c r="BW21" s="85" t="str">
        <f t="shared" si="14"/>
        <v>N/A</v>
      </c>
      <c r="BX21" s="85"/>
      <c r="BY21" s="85" t="str">
        <f t="shared" si="15"/>
        <v>N/A</v>
      </c>
      <c r="BZ21" s="85"/>
      <c r="CA21" s="85" t="str">
        <f t="shared" si="0"/>
        <v>N/A</v>
      </c>
      <c r="CB21" s="85"/>
      <c r="CC21" s="85" t="str">
        <f t="shared" si="16"/>
        <v>N/A</v>
      </c>
      <c r="CD21" s="85"/>
      <c r="CE21" s="85" t="str">
        <f t="shared" si="17"/>
        <v>N/A</v>
      </c>
      <c r="CF21" s="85"/>
      <c r="CG21" s="85" t="str">
        <f t="shared" si="1"/>
        <v>N/A</v>
      </c>
      <c r="CH21" s="85"/>
    </row>
    <row r="22" spans="1:86" s="419" customFormat="1" ht="27" customHeight="1">
      <c r="A22" s="418" t="s">
        <v>78</v>
      </c>
      <c r="B22" s="403">
        <v>79</v>
      </c>
      <c r="C22" s="404">
        <v>14</v>
      </c>
      <c r="D22" s="405" t="s">
        <v>548</v>
      </c>
      <c r="E22" s="279" t="s">
        <v>372</v>
      </c>
      <c r="F22" s="644"/>
      <c r="G22" s="876"/>
      <c r="H22" s="644"/>
      <c r="I22" s="876"/>
      <c r="J22" s="644"/>
      <c r="K22" s="876"/>
      <c r="L22" s="644"/>
      <c r="M22" s="876"/>
      <c r="N22" s="644"/>
      <c r="O22" s="876"/>
      <c r="P22" s="644"/>
      <c r="Q22" s="876"/>
      <c r="R22" s="644"/>
      <c r="S22" s="876"/>
      <c r="T22" s="644"/>
      <c r="U22" s="876"/>
      <c r="V22" s="644"/>
      <c r="W22" s="876"/>
      <c r="X22" s="644"/>
      <c r="Y22" s="876"/>
      <c r="Z22" s="644"/>
      <c r="AA22" s="876"/>
      <c r="AB22" s="644"/>
      <c r="AC22" s="876"/>
      <c r="AD22" s="644"/>
      <c r="AE22" s="876"/>
      <c r="AF22" s="644"/>
      <c r="AG22" s="876"/>
      <c r="AH22" s="644"/>
      <c r="AI22" s="876"/>
      <c r="AJ22" s="644"/>
      <c r="AK22" s="876"/>
      <c r="AL22" s="644"/>
      <c r="AM22" s="876"/>
      <c r="AN22" s="644"/>
      <c r="AO22" s="876"/>
      <c r="AP22" s="644"/>
      <c r="AQ22" s="876"/>
      <c r="AS22" s="420"/>
      <c r="AT22" s="408">
        <v>14</v>
      </c>
      <c r="AU22" s="409" t="s">
        <v>548</v>
      </c>
      <c r="AV22" s="87" t="s">
        <v>372</v>
      </c>
      <c r="AW22" s="85" t="s">
        <v>99</v>
      </c>
      <c r="AX22" s="410"/>
      <c r="AY22" s="85" t="str">
        <f t="shared" si="2"/>
        <v>N/A</v>
      </c>
      <c r="AZ22" s="410"/>
      <c r="BA22" s="85" t="str">
        <f t="shared" si="3"/>
        <v>N/A</v>
      </c>
      <c r="BB22" s="114"/>
      <c r="BC22" s="85" t="str">
        <f t="shared" si="4"/>
        <v>N/A</v>
      </c>
      <c r="BD22" s="114"/>
      <c r="BE22" s="85" t="str">
        <f t="shared" si="5"/>
        <v>N/A</v>
      </c>
      <c r="BF22" s="114"/>
      <c r="BG22" s="85" t="str">
        <f t="shared" si="6"/>
        <v>N/A</v>
      </c>
      <c r="BH22" s="114"/>
      <c r="BI22" s="85" t="str">
        <f t="shared" si="7"/>
        <v>N/A</v>
      </c>
      <c r="BJ22" s="114"/>
      <c r="BK22" s="85" t="str">
        <f t="shared" si="8"/>
        <v>N/A</v>
      </c>
      <c r="BL22" s="114"/>
      <c r="BM22" s="85" t="str">
        <f t="shared" si="9"/>
        <v>N/A</v>
      </c>
      <c r="BN22" s="114"/>
      <c r="BO22" s="85" t="str">
        <f t="shared" si="10"/>
        <v>N/A</v>
      </c>
      <c r="BP22" s="114"/>
      <c r="BQ22" s="85" t="str">
        <f t="shared" si="11"/>
        <v>N/A</v>
      </c>
      <c r="BR22" s="114"/>
      <c r="BS22" s="85" t="str">
        <f t="shared" si="12"/>
        <v>N/A</v>
      </c>
      <c r="BT22" s="114"/>
      <c r="BU22" s="85" t="str">
        <f t="shared" si="13"/>
        <v>N/A</v>
      </c>
      <c r="BV22" s="114"/>
      <c r="BW22" s="85" t="str">
        <f t="shared" si="14"/>
        <v>N/A</v>
      </c>
      <c r="BX22" s="114"/>
      <c r="BY22" s="85" t="str">
        <f t="shared" si="15"/>
        <v>N/A</v>
      </c>
      <c r="BZ22" s="114"/>
      <c r="CA22" s="85" t="str">
        <f t="shared" si="0"/>
        <v>N/A</v>
      </c>
      <c r="CB22" s="114"/>
      <c r="CC22" s="85" t="str">
        <f t="shared" si="16"/>
        <v>N/A</v>
      </c>
      <c r="CD22" s="114"/>
      <c r="CE22" s="85" t="str">
        <f t="shared" si="17"/>
        <v>N/A</v>
      </c>
      <c r="CF22" s="114"/>
      <c r="CG22" s="85" t="str">
        <f t="shared" si="1"/>
        <v>N/A</v>
      </c>
      <c r="CH22" s="114"/>
    </row>
    <row r="23" spans="1:86" s="419" customFormat="1" ht="15" customHeight="1">
      <c r="A23" s="421"/>
      <c r="B23" s="403">
        <v>34</v>
      </c>
      <c r="C23" s="404">
        <v>15</v>
      </c>
      <c r="D23" s="405" t="s">
        <v>15</v>
      </c>
      <c r="E23" s="279" t="s">
        <v>372</v>
      </c>
      <c r="F23" s="644"/>
      <c r="G23" s="876"/>
      <c r="H23" s="644"/>
      <c r="I23" s="876"/>
      <c r="J23" s="644"/>
      <c r="K23" s="876"/>
      <c r="L23" s="644"/>
      <c r="M23" s="876"/>
      <c r="N23" s="644"/>
      <c r="O23" s="876"/>
      <c r="P23" s="644"/>
      <c r="Q23" s="876"/>
      <c r="R23" s="644"/>
      <c r="S23" s="876"/>
      <c r="T23" s="644"/>
      <c r="U23" s="876"/>
      <c r="V23" s="644"/>
      <c r="W23" s="876"/>
      <c r="X23" s="644"/>
      <c r="Y23" s="876"/>
      <c r="Z23" s="644"/>
      <c r="AA23" s="876"/>
      <c r="AB23" s="644"/>
      <c r="AC23" s="876"/>
      <c r="AD23" s="644"/>
      <c r="AE23" s="876"/>
      <c r="AF23" s="644"/>
      <c r="AG23" s="876"/>
      <c r="AH23" s="644"/>
      <c r="AI23" s="876"/>
      <c r="AJ23" s="644"/>
      <c r="AK23" s="876"/>
      <c r="AL23" s="644"/>
      <c r="AM23" s="876"/>
      <c r="AN23" s="644"/>
      <c r="AO23" s="876"/>
      <c r="AP23" s="644"/>
      <c r="AQ23" s="876"/>
      <c r="AS23" s="420"/>
      <c r="AT23" s="408">
        <v>15</v>
      </c>
      <c r="AU23" s="409" t="s">
        <v>15</v>
      </c>
      <c r="AV23" s="87" t="s">
        <v>372</v>
      </c>
      <c r="AW23" s="85" t="s">
        <v>99</v>
      </c>
      <c r="AX23" s="410"/>
      <c r="AY23" s="85" t="str">
        <f t="shared" si="2"/>
        <v>N/A</v>
      </c>
      <c r="AZ23" s="410"/>
      <c r="BA23" s="85" t="str">
        <f t="shared" si="3"/>
        <v>N/A</v>
      </c>
      <c r="BB23" s="114"/>
      <c r="BC23" s="85" t="str">
        <f t="shared" si="4"/>
        <v>N/A</v>
      </c>
      <c r="BD23" s="114"/>
      <c r="BE23" s="85" t="str">
        <f t="shared" si="5"/>
        <v>N/A</v>
      </c>
      <c r="BF23" s="114"/>
      <c r="BG23" s="85" t="str">
        <f t="shared" si="6"/>
        <v>N/A</v>
      </c>
      <c r="BH23" s="114"/>
      <c r="BI23" s="85" t="str">
        <f t="shared" si="7"/>
        <v>N/A</v>
      </c>
      <c r="BJ23" s="114"/>
      <c r="BK23" s="85" t="str">
        <f t="shared" si="8"/>
        <v>N/A</v>
      </c>
      <c r="BL23" s="114"/>
      <c r="BM23" s="85" t="str">
        <f t="shared" si="9"/>
        <v>N/A</v>
      </c>
      <c r="BN23" s="114"/>
      <c r="BO23" s="85" t="str">
        <f t="shared" si="10"/>
        <v>N/A</v>
      </c>
      <c r="BP23" s="114"/>
      <c r="BQ23" s="85" t="str">
        <f t="shared" si="11"/>
        <v>N/A</v>
      </c>
      <c r="BR23" s="114"/>
      <c r="BS23" s="85" t="str">
        <f t="shared" si="12"/>
        <v>N/A</v>
      </c>
      <c r="BT23" s="114"/>
      <c r="BU23" s="85" t="str">
        <f t="shared" si="13"/>
        <v>N/A</v>
      </c>
      <c r="BV23" s="114"/>
      <c r="BW23" s="85" t="str">
        <f t="shared" si="14"/>
        <v>N/A</v>
      </c>
      <c r="BX23" s="114"/>
      <c r="BY23" s="85" t="str">
        <f t="shared" si="15"/>
        <v>N/A</v>
      </c>
      <c r="BZ23" s="114"/>
      <c r="CA23" s="85" t="str">
        <f t="shared" si="0"/>
        <v>N/A</v>
      </c>
      <c r="CB23" s="114"/>
      <c r="CC23" s="85" t="str">
        <f t="shared" si="16"/>
        <v>N/A</v>
      </c>
      <c r="CD23" s="114"/>
      <c r="CE23" s="85" t="str">
        <f t="shared" si="17"/>
        <v>N/A</v>
      </c>
      <c r="CF23" s="114"/>
      <c r="CG23" s="85" t="str">
        <f t="shared" si="1"/>
        <v>N/A</v>
      </c>
      <c r="CH23" s="114"/>
    </row>
    <row r="24" spans="1:86" s="419" customFormat="1" ht="15" customHeight="1">
      <c r="A24" s="421" t="s">
        <v>78</v>
      </c>
      <c r="B24" s="403">
        <v>35</v>
      </c>
      <c r="C24" s="404">
        <v>16</v>
      </c>
      <c r="D24" s="405" t="s">
        <v>549</v>
      </c>
      <c r="E24" s="279" t="s">
        <v>372</v>
      </c>
      <c r="F24" s="644"/>
      <c r="G24" s="876"/>
      <c r="H24" s="644"/>
      <c r="I24" s="876"/>
      <c r="J24" s="644"/>
      <c r="K24" s="876"/>
      <c r="L24" s="644"/>
      <c r="M24" s="876"/>
      <c r="N24" s="644"/>
      <c r="O24" s="876"/>
      <c r="P24" s="644"/>
      <c r="Q24" s="876"/>
      <c r="R24" s="644"/>
      <c r="S24" s="876"/>
      <c r="T24" s="644"/>
      <c r="U24" s="876"/>
      <c r="V24" s="644"/>
      <c r="W24" s="876"/>
      <c r="X24" s="644"/>
      <c r="Y24" s="876"/>
      <c r="Z24" s="644"/>
      <c r="AA24" s="876"/>
      <c r="AB24" s="644"/>
      <c r="AC24" s="876"/>
      <c r="AD24" s="644"/>
      <c r="AE24" s="876"/>
      <c r="AF24" s="644"/>
      <c r="AG24" s="876"/>
      <c r="AH24" s="644"/>
      <c r="AI24" s="876"/>
      <c r="AJ24" s="644"/>
      <c r="AK24" s="876"/>
      <c r="AL24" s="644"/>
      <c r="AM24" s="876"/>
      <c r="AN24" s="644"/>
      <c r="AO24" s="876"/>
      <c r="AP24" s="644"/>
      <c r="AQ24" s="876"/>
      <c r="AS24" s="420"/>
      <c r="AT24" s="408">
        <v>16</v>
      </c>
      <c r="AU24" s="409" t="s">
        <v>549</v>
      </c>
      <c r="AV24" s="87" t="s">
        <v>372</v>
      </c>
      <c r="AW24" s="114" t="s">
        <v>99</v>
      </c>
      <c r="AX24" s="410"/>
      <c r="AY24" s="85" t="str">
        <f t="shared" si="2"/>
        <v>N/A</v>
      </c>
      <c r="AZ24" s="410"/>
      <c r="BA24" s="85" t="str">
        <f t="shared" si="3"/>
        <v>N/A</v>
      </c>
      <c r="BB24" s="114"/>
      <c r="BC24" s="85" t="str">
        <f t="shared" si="4"/>
        <v>N/A</v>
      </c>
      <c r="BD24" s="114"/>
      <c r="BE24" s="85" t="str">
        <f t="shared" si="5"/>
        <v>N/A</v>
      </c>
      <c r="BF24" s="114"/>
      <c r="BG24" s="85" t="str">
        <f t="shared" si="6"/>
        <v>N/A</v>
      </c>
      <c r="BH24" s="114"/>
      <c r="BI24" s="85" t="str">
        <f t="shared" si="7"/>
        <v>N/A</v>
      </c>
      <c r="BJ24" s="114"/>
      <c r="BK24" s="85" t="str">
        <f t="shared" si="8"/>
        <v>N/A</v>
      </c>
      <c r="BL24" s="114"/>
      <c r="BM24" s="85" t="str">
        <f t="shared" si="9"/>
        <v>N/A</v>
      </c>
      <c r="BN24" s="114"/>
      <c r="BO24" s="85" t="str">
        <f t="shared" si="10"/>
        <v>N/A</v>
      </c>
      <c r="BP24" s="114"/>
      <c r="BQ24" s="85" t="str">
        <f t="shared" si="11"/>
        <v>N/A</v>
      </c>
      <c r="BR24" s="114"/>
      <c r="BS24" s="85" t="str">
        <f t="shared" si="12"/>
        <v>N/A</v>
      </c>
      <c r="BT24" s="114"/>
      <c r="BU24" s="85" t="str">
        <f t="shared" si="13"/>
        <v>N/A</v>
      </c>
      <c r="BV24" s="114"/>
      <c r="BW24" s="85" t="str">
        <f t="shared" si="14"/>
        <v>N/A</v>
      </c>
      <c r="BX24" s="114"/>
      <c r="BY24" s="85" t="str">
        <f t="shared" si="15"/>
        <v>N/A</v>
      </c>
      <c r="BZ24" s="114"/>
      <c r="CA24" s="85" t="str">
        <f t="shared" si="0"/>
        <v>N/A</v>
      </c>
      <c r="CB24" s="114"/>
      <c r="CC24" s="85" t="str">
        <f t="shared" si="16"/>
        <v>N/A</v>
      </c>
      <c r="CD24" s="114"/>
      <c r="CE24" s="85" t="str">
        <f t="shared" si="17"/>
        <v>N/A</v>
      </c>
      <c r="CF24" s="114"/>
      <c r="CG24" s="85" t="str">
        <f t="shared" si="1"/>
        <v>N/A</v>
      </c>
      <c r="CH24" s="114"/>
    </row>
    <row r="25" spans="1:86" s="412" customFormat="1" ht="15" customHeight="1">
      <c r="A25" s="230"/>
      <c r="B25" s="397">
        <v>5010</v>
      </c>
      <c r="C25" s="279"/>
      <c r="D25" s="411" t="s">
        <v>545</v>
      </c>
      <c r="E25" s="279"/>
      <c r="F25" s="644"/>
      <c r="G25" s="876"/>
      <c r="H25" s="644"/>
      <c r="I25" s="876"/>
      <c r="J25" s="644"/>
      <c r="K25" s="876"/>
      <c r="L25" s="644"/>
      <c r="M25" s="876"/>
      <c r="N25" s="644"/>
      <c r="O25" s="876"/>
      <c r="P25" s="644"/>
      <c r="Q25" s="876"/>
      <c r="R25" s="644"/>
      <c r="S25" s="876"/>
      <c r="T25" s="644"/>
      <c r="U25" s="876"/>
      <c r="V25" s="644"/>
      <c r="W25" s="876"/>
      <c r="X25" s="644"/>
      <c r="Y25" s="876"/>
      <c r="Z25" s="644"/>
      <c r="AA25" s="876"/>
      <c r="AB25" s="644"/>
      <c r="AC25" s="876"/>
      <c r="AD25" s="644"/>
      <c r="AE25" s="876"/>
      <c r="AF25" s="644"/>
      <c r="AG25" s="876"/>
      <c r="AH25" s="644"/>
      <c r="AI25" s="876"/>
      <c r="AJ25" s="644"/>
      <c r="AK25" s="876"/>
      <c r="AL25" s="644"/>
      <c r="AM25" s="876"/>
      <c r="AN25" s="644"/>
      <c r="AO25" s="876"/>
      <c r="AP25" s="644"/>
      <c r="AQ25" s="876"/>
      <c r="AS25" s="233"/>
      <c r="AT25" s="87"/>
      <c r="AU25" s="413" t="s">
        <v>545</v>
      </c>
      <c r="AV25" s="87"/>
      <c r="AW25" s="85"/>
      <c r="AX25" s="268"/>
      <c r="AY25" s="85"/>
      <c r="AZ25" s="268"/>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412" customFormat="1" ht="15" customHeight="1">
      <c r="A26" s="230"/>
      <c r="B26" s="397">
        <v>279</v>
      </c>
      <c r="C26" s="279">
        <v>17</v>
      </c>
      <c r="D26" s="398" t="s">
        <v>475</v>
      </c>
      <c r="E26" s="279" t="s">
        <v>372</v>
      </c>
      <c r="F26" s="644"/>
      <c r="G26" s="876"/>
      <c r="H26" s="644"/>
      <c r="I26" s="876"/>
      <c r="J26" s="644"/>
      <c r="K26" s="876"/>
      <c r="L26" s="644"/>
      <c r="M26" s="876"/>
      <c r="N26" s="644"/>
      <c r="O26" s="876"/>
      <c r="P26" s="644"/>
      <c r="Q26" s="876"/>
      <c r="R26" s="644"/>
      <c r="S26" s="876"/>
      <c r="T26" s="644"/>
      <c r="U26" s="876"/>
      <c r="V26" s="644"/>
      <c r="W26" s="876"/>
      <c r="X26" s="644"/>
      <c r="Y26" s="876"/>
      <c r="Z26" s="644"/>
      <c r="AA26" s="876"/>
      <c r="AB26" s="644"/>
      <c r="AC26" s="876"/>
      <c r="AD26" s="644"/>
      <c r="AE26" s="876"/>
      <c r="AF26" s="644"/>
      <c r="AG26" s="876"/>
      <c r="AH26" s="644"/>
      <c r="AI26" s="876"/>
      <c r="AJ26" s="644"/>
      <c r="AK26" s="876"/>
      <c r="AL26" s="644"/>
      <c r="AM26" s="876"/>
      <c r="AN26" s="644"/>
      <c r="AO26" s="876"/>
      <c r="AP26" s="644"/>
      <c r="AQ26" s="876"/>
      <c r="AS26" s="233"/>
      <c r="AT26" s="87">
        <v>17</v>
      </c>
      <c r="AU26" s="321" t="s">
        <v>475</v>
      </c>
      <c r="AV26" s="87" t="s">
        <v>372</v>
      </c>
      <c r="AW26" s="85" t="s">
        <v>99</v>
      </c>
      <c r="AX26" s="268"/>
      <c r="AY26" s="85" t="str">
        <f t="shared" si="2"/>
        <v>N/A</v>
      </c>
      <c r="AZ26" s="268"/>
      <c r="BA26" s="85" t="str">
        <f t="shared" si="3"/>
        <v>N/A</v>
      </c>
      <c r="BB26" s="85"/>
      <c r="BC26" s="85" t="str">
        <f t="shared" si="4"/>
        <v>N/A</v>
      </c>
      <c r="BD26" s="85"/>
      <c r="BE26" s="85" t="str">
        <f t="shared" si="5"/>
        <v>N/A</v>
      </c>
      <c r="BF26" s="85"/>
      <c r="BG26" s="85" t="str">
        <f t="shared" si="6"/>
        <v>N/A</v>
      </c>
      <c r="BH26" s="85"/>
      <c r="BI26" s="85">
        <v>0</v>
      </c>
      <c r="BJ26" s="85"/>
      <c r="BK26" s="85" t="str">
        <f t="shared" si="8"/>
        <v>N/A</v>
      </c>
      <c r="BL26" s="85"/>
      <c r="BM26" s="85" t="str">
        <f t="shared" si="9"/>
        <v>N/A</v>
      </c>
      <c r="BN26" s="85"/>
      <c r="BO26" s="85" t="str">
        <f t="shared" si="10"/>
        <v>N/A</v>
      </c>
      <c r="BP26" s="85"/>
      <c r="BQ26" s="85" t="str">
        <f t="shared" si="11"/>
        <v>N/A</v>
      </c>
      <c r="BR26" s="85"/>
      <c r="BS26" s="85" t="str">
        <f t="shared" si="12"/>
        <v>N/A</v>
      </c>
      <c r="BT26" s="85"/>
      <c r="BU26" s="85" t="str">
        <f t="shared" si="13"/>
        <v>N/A</v>
      </c>
      <c r="BV26" s="85"/>
      <c r="BW26" s="85" t="str">
        <f t="shared" si="14"/>
        <v>N/A</v>
      </c>
      <c r="BX26" s="85"/>
      <c r="BY26" s="85" t="str">
        <f t="shared" si="15"/>
        <v>N/A</v>
      </c>
      <c r="BZ26" s="85"/>
      <c r="CA26" s="85" t="str">
        <f t="shared" si="0"/>
        <v>N/A</v>
      </c>
      <c r="CB26" s="85"/>
      <c r="CC26" s="85" t="str">
        <f t="shared" si="16"/>
        <v>N/A</v>
      </c>
      <c r="CD26" s="85"/>
      <c r="CE26" s="85" t="str">
        <f t="shared" si="17"/>
        <v>N/A</v>
      </c>
      <c r="CF26" s="85"/>
      <c r="CG26" s="85" t="str">
        <f t="shared" si="1"/>
        <v>N/A</v>
      </c>
      <c r="CH26" s="85"/>
    </row>
    <row r="27" spans="1:86" s="412" customFormat="1" ht="15" customHeight="1">
      <c r="A27" s="230"/>
      <c r="B27" s="397">
        <v>280</v>
      </c>
      <c r="C27" s="422">
        <v>18</v>
      </c>
      <c r="D27" s="398" t="s">
        <v>239</v>
      </c>
      <c r="E27" s="279" t="s">
        <v>372</v>
      </c>
      <c r="F27" s="640"/>
      <c r="G27" s="873"/>
      <c r="H27" s="640"/>
      <c r="I27" s="873"/>
      <c r="J27" s="640"/>
      <c r="K27" s="873"/>
      <c r="L27" s="640"/>
      <c r="M27" s="873"/>
      <c r="N27" s="640"/>
      <c r="O27" s="873"/>
      <c r="P27" s="640"/>
      <c r="Q27" s="873"/>
      <c r="R27" s="640"/>
      <c r="S27" s="873"/>
      <c r="T27" s="640"/>
      <c r="U27" s="873"/>
      <c r="V27" s="640"/>
      <c r="W27" s="873"/>
      <c r="X27" s="640"/>
      <c r="Y27" s="873"/>
      <c r="Z27" s="640"/>
      <c r="AA27" s="873"/>
      <c r="AB27" s="640"/>
      <c r="AC27" s="873"/>
      <c r="AD27" s="640"/>
      <c r="AE27" s="873"/>
      <c r="AF27" s="640"/>
      <c r="AG27" s="873"/>
      <c r="AH27" s="640"/>
      <c r="AI27" s="873"/>
      <c r="AJ27" s="640"/>
      <c r="AK27" s="873"/>
      <c r="AL27" s="640"/>
      <c r="AM27" s="873"/>
      <c r="AN27" s="640"/>
      <c r="AO27" s="873"/>
      <c r="AP27" s="640"/>
      <c r="AQ27" s="873"/>
      <c r="AS27" s="233"/>
      <c r="AT27" s="423">
        <v>18</v>
      </c>
      <c r="AU27" s="321" t="s">
        <v>239</v>
      </c>
      <c r="AV27" s="87" t="s">
        <v>372</v>
      </c>
      <c r="AW27" s="85" t="s">
        <v>99</v>
      </c>
      <c r="AX27" s="272"/>
      <c r="AY27" s="85" t="str">
        <f>IF(OR(ISBLANK(F27),ISBLANK(H27)),"N/A",IF(ABS((H27-F27)/F27)&gt;1,"&gt; 100%","ok"))</f>
        <v>N/A</v>
      </c>
      <c r="AZ27" s="268"/>
      <c r="BA27" s="85" t="str">
        <f t="shared" si="3"/>
        <v>N/A</v>
      </c>
      <c r="BB27" s="85"/>
      <c r="BC27" s="85" t="str">
        <f>IF(OR(ISBLANK(J27),ISBLANK(L27)),"N/A",IF(ABS((L27-J27)/J27)&gt;0.25,"&gt; 25%","ok"))</f>
        <v>N/A</v>
      </c>
      <c r="BD27" s="85"/>
      <c r="BE27" s="85" t="str">
        <f t="shared" si="5"/>
        <v>N/A</v>
      </c>
      <c r="BF27" s="85"/>
      <c r="BG27" s="85" t="str">
        <f t="shared" si="6"/>
        <v>N/A</v>
      </c>
      <c r="BH27" s="85"/>
      <c r="BI27" s="85" t="str">
        <f t="shared" si="7"/>
        <v>N/A</v>
      </c>
      <c r="BJ27" s="85"/>
      <c r="BK27" s="85" t="str">
        <f t="shared" si="8"/>
        <v>N/A</v>
      </c>
      <c r="BL27" s="85"/>
      <c r="BM27" s="85" t="str">
        <f t="shared" si="9"/>
        <v>N/A</v>
      </c>
      <c r="BN27" s="85"/>
      <c r="BO27" s="85" t="str">
        <f t="shared" si="10"/>
        <v>N/A</v>
      </c>
      <c r="BP27" s="85"/>
      <c r="BQ27" s="85" t="str">
        <f t="shared" si="11"/>
        <v>N/A</v>
      </c>
      <c r="BR27" s="85"/>
      <c r="BS27" s="85" t="str">
        <f t="shared" si="12"/>
        <v>N/A</v>
      </c>
      <c r="BT27" s="85"/>
      <c r="BU27" s="85" t="str">
        <f t="shared" si="13"/>
        <v>N/A</v>
      </c>
      <c r="BV27" s="85"/>
      <c r="BW27" s="85" t="str">
        <f t="shared" si="14"/>
        <v>N/A</v>
      </c>
      <c r="BX27" s="85"/>
      <c r="BY27" s="85" t="str">
        <f t="shared" si="15"/>
        <v>N/A</v>
      </c>
      <c r="BZ27" s="85"/>
      <c r="CA27" s="85" t="str">
        <f t="shared" si="0"/>
        <v>N/A</v>
      </c>
      <c r="CB27" s="85"/>
      <c r="CC27" s="85" t="str">
        <f t="shared" si="16"/>
        <v>N/A</v>
      </c>
      <c r="CD27" s="85"/>
      <c r="CE27" s="85" t="str">
        <f t="shared" si="17"/>
        <v>N/A</v>
      </c>
      <c r="CF27" s="85"/>
      <c r="CG27" s="85" t="str">
        <f t="shared" si="1"/>
        <v>N/A</v>
      </c>
      <c r="CH27" s="85"/>
    </row>
    <row r="28" spans="1:86" s="412" customFormat="1" ht="27" customHeight="1">
      <c r="A28" s="230"/>
      <c r="B28" s="397">
        <v>281</v>
      </c>
      <c r="C28" s="422">
        <v>19</v>
      </c>
      <c r="D28" s="398" t="s">
        <v>556</v>
      </c>
      <c r="E28" s="279" t="s">
        <v>372</v>
      </c>
      <c r="F28" s="640"/>
      <c r="G28" s="873"/>
      <c r="H28" s="640"/>
      <c r="I28" s="873"/>
      <c r="J28" s="640"/>
      <c r="K28" s="873"/>
      <c r="L28" s="640"/>
      <c r="M28" s="873"/>
      <c r="N28" s="640"/>
      <c r="O28" s="873"/>
      <c r="P28" s="640"/>
      <c r="Q28" s="873"/>
      <c r="R28" s="640"/>
      <c r="S28" s="873"/>
      <c r="T28" s="640"/>
      <c r="U28" s="873"/>
      <c r="V28" s="640"/>
      <c r="W28" s="873"/>
      <c r="X28" s="640"/>
      <c r="Y28" s="873"/>
      <c r="Z28" s="640"/>
      <c r="AA28" s="873"/>
      <c r="AB28" s="640"/>
      <c r="AC28" s="873"/>
      <c r="AD28" s="640"/>
      <c r="AE28" s="873"/>
      <c r="AF28" s="640"/>
      <c r="AG28" s="873"/>
      <c r="AH28" s="640"/>
      <c r="AI28" s="873"/>
      <c r="AJ28" s="640"/>
      <c r="AK28" s="873"/>
      <c r="AL28" s="640"/>
      <c r="AM28" s="873"/>
      <c r="AN28" s="640"/>
      <c r="AO28" s="873"/>
      <c r="AP28" s="640"/>
      <c r="AQ28" s="873"/>
      <c r="AS28" s="233"/>
      <c r="AT28" s="423">
        <v>19</v>
      </c>
      <c r="AU28" s="321" t="s">
        <v>543</v>
      </c>
      <c r="AV28" s="87" t="s">
        <v>372</v>
      </c>
      <c r="AW28" s="85"/>
      <c r="AX28" s="272"/>
      <c r="AY28" s="85" t="str">
        <f>IF(OR(ISBLANK(F28),ISBLANK(H28)),"N/A",IF(ABS((H28-F28)/F28)&gt;1,"&gt; 100%","ok"))</f>
        <v>N/A</v>
      </c>
      <c r="AZ28" s="268"/>
      <c r="BA28" s="85" t="str">
        <f t="shared" si="3"/>
        <v>N/A</v>
      </c>
      <c r="BB28" s="85"/>
      <c r="BC28" s="85" t="str">
        <f>IF(OR(ISBLANK(J28),ISBLANK(L28)),"N/A",IF(ABS((L28-J28)/J28)&gt;0.25,"&gt; 25%","ok"))</f>
        <v>N/A</v>
      </c>
      <c r="BD28" s="85"/>
      <c r="BE28" s="85" t="str">
        <f t="shared" si="5"/>
        <v>N/A</v>
      </c>
      <c r="BF28" s="85"/>
      <c r="BG28" s="85" t="str">
        <f t="shared" si="6"/>
        <v>N/A</v>
      </c>
      <c r="BH28" s="85"/>
      <c r="BI28" s="85" t="str">
        <f t="shared" si="7"/>
        <v>N/A</v>
      </c>
      <c r="BJ28" s="85"/>
      <c r="BK28" s="85" t="str">
        <f t="shared" si="8"/>
        <v>N/A</v>
      </c>
      <c r="BL28" s="85"/>
      <c r="BM28" s="85" t="str">
        <f t="shared" si="9"/>
        <v>N/A</v>
      </c>
      <c r="BN28" s="85"/>
      <c r="BO28" s="85" t="str">
        <f t="shared" si="10"/>
        <v>N/A</v>
      </c>
      <c r="BP28" s="85"/>
      <c r="BQ28" s="85" t="str">
        <f t="shared" si="11"/>
        <v>N/A</v>
      </c>
      <c r="BR28" s="85"/>
      <c r="BS28" s="85" t="str">
        <f t="shared" si="12"/>
        <v>N/A</v>
      </c>
      <c r="BT28" s="85"/>
      <c r="BU28" s="85" t="str">
        <f t="shared" si="13"/>
        <v>N/A</v>
      </c>
      <c r="BV28" s="85"/>
      <c r="BW28" s="85" t="str">
        <f t="shared" si="14"/>
        <v>N/A</v>
      </c>
      <c r="BX28" s="85"/>
      <c r="BY28" s="85" t="str">
        <f t="shared" si="15"/>
        <v>N/A</v>
      </c>
      <c r="BZ28" s="85"/>
      <c r="CA28" s="85" t="str">
        <f t="shared" si="0"/>
        <v>N/A</v>
      </c>
      <c r="CB28" s="85"/>
      <c r="CC28" s="85" t="str">
        <f t="shared" si="16"/>
        <v>N/A</v>
      </c>
      <c r="CD28" s="85"/>
      <c r="CE28" s="85" t="str">
        <f t="shared" si="17"/>
        <v>N/A</v>
      </c>
      <c r="CF28" s="85"/>
      <c r="CG28" s="85" t="str">
        <f t="shared" si="1"/>
        <v>N/A</v>
      </c>
      <c r="CH28" s="85"/>
    </row>
    <row r="29" spans="1:86" s="412" customFormat="1" ht="15" customHeight="1">
      <c r="A29" s="230"/>
      <c r="B29" s="397">
        <v>282</v>
      </c>
      <c r="C29" s="422">
        <v>20</v>
      </c>
      <c r="D29" s="398" t="s">
        <v>476</v>
      </c>
      <c r="E29" s="279" t="s">
        <v>372</v>
      </c>
      <c r="F29" s="640"/>
      <c r="G29" s="873"/>
      <c r="H29" s="640"/>
      <c r="I29" s="873"/>
      <c r="J29" s="640"/>
      <c r="K29" s="873"/>
      <c r="L29" s="640"/>
      <c r="M29" s="873"/>
      <c r="N29" s="640"/>
      <c r="O29" s="873"/>
      <c r="P29" s="640"/>
      <c r="Q29" s="873"/>
      <c r="R29" s="640"/>
      <c r="S29" s="873"/>
      <c r="T29" s="640"/>
      <c r="U29" s="873"/>
      <c r="V29" s="640"/>
      <c r="W29" s="873"/>
      <c r="X29" s="640"/>
      <c r="Y29" s="873"/>
      <c r="Z29" s="640"/>
      <c r="AA29" s="873"/>
      <c r="AB29" s="640"/>
      <c r="AC29" s="873"/>
      <c r="AD29" s="640"/>
      <c r="AE29" s="873"/>
      <c r="AF29" s="640"/>
      <c r="AG29" s="873"/>
      <c r="AH29" s="640"/>
      <c r="AI29" s="873"/>
      <c r="AJ29" s="640"/>
      <c r="AK29" s="873"/>
      <c r="AL29" s="640"/>
      <c r="AM29" s="873"/>
      <c r="AN29" s="640"/>
      <c r="AO29" s="873"/>
      <c r="AP29" s="640"/>
      <c r="AQ29" s="873"/>
      <c r="AS29" s="233"/>
      <c r="AT29" s="423">
        <v>20</v>
      </c>
      <c r="AU29" s="321" t="s">
        <v>476</v>
      </c>
      <c r="AV29" s="87" t="s">
        <v>372</v>
      </c>
      <c r="AW29" s="85" t="s">
        <v>99</v>
      </c>
      <c r="AX29" s="272"/>
      <c r="AY29" s="85" t="str">
        <f>IF(OR(ISBLANK(F29),ISBLANK(H29)),"N/A",IF(ABS((H29-F29)/F29)&gt;1,"&gt; 100%","ok"))</f>
        <v>N/A</v>
      </c>
      <c r="AZ29" s="268"/>
      <c r="BA29" s="85" t="str">
        <f>IF(OR(ISBLANK(H29),ISBLANK(J29)),"N/A",IF(ABS((J29-H29)/H29)&gt;0.25,"&gt; 25%","ok"))</f>
        <v>N/A</v>
      </c>
      <c r="BB29" s="85"/>
      <c r="BC29" s="85" t="str">
        <f>IF(OR(ISBLANK(J29),ISBLANK(L29)),"N/A",IF(ABS((L29-J29)/J29)&gt;0.25,"&gt; 25%","ok"))</f>
        <v>N/A</v>
      </c>
      <c r="BD29" s="85"/>
      <c r="BE29" s="85" t="str">
        <f>IF(OR(ISBLANK(L29),ISBLANK(N29)),"N/A",IF(ABS((N29-L29)/L29)&gt;0.25,"&gt; 25%","ok"))</f>
        <v>N/A</v>
      </c>
      <c r="BF29" s="85"/>
      <c r="BG29" s="85" t="str">
        <f>IF(OR(ISBLANK(N29),ISBLANK(P29)),"N/A",IF(ABS((P29-N29)/N29)&gt;0.25,"&gt; 25%","ok"))</f>
        <v>N/A</v>
      </c>
      <c r="BH29" s="85"/>
      <c r="BI29" s="85" t="str">
        <f>IF(OR(ISBLANK(P29),ISBLANK(R29)),"N/A",IF(ABS((R29-P29)/P29)&gt;0.25,"&gt; 25%","ok"))</f>
        <v>N/A</v>
      </c>
      <c r="BJ29" s="85"/>
      <c r="BK29" s="85" t="str">
        <f>IF(OR(ISBLANK(R29),ISBLANK(T29)),"N/A",IF(ABS((T29-R29)/R29)&gt;0.25,"&gt; 25%","ok"))</f>
        <v>N/A</v>
      </c>
      <c r="BL29" s="85"/>
      <c r="BM29" s="85" t="str">
        <f>IF(OR(ISBLANK(T29),ISBLANK(V29)),"N/A",IF(ABS((V29-T29)/T29)&gt;0.25,"&gt; 25%","ok"))</f>
        <v>N/A</v>
      </c>
      <c r="BN29" s="85"/>
      <c r="BO29" s="85" t="str">
        <f>IF(OR(ISBLANK(V29),ISBLANK(X29)),"N/A",IF(ABS((X29-V29)/V29)&gt;0.25,"&gt; 25%","ok"))</f>
        <v>N/A</v>
      </c>
      <c r="BP29" s="85"/>
      <c r="BQ29" s="85" t="str">
        <f>IF(OR(ISBLANK(X29),ISBLANK(Z29)),"N/A",IF(ABS((Z29-X29)/X29)&gt;0.25,"&gt; 25%","ok"))</f>
        <v>N/A</v>
      </c>
      <c r="BR29" s="85"/>
      <c r="BS29" s="85" t="str">
        <f>IF(OR(ISBLANK(Z29),ISBLANK(AB29)),"N/A",IF(ABS((AB29-Z29)/Z29)&gt;0.25,"&gt; 25%","ok"))</f>
        <v>N/A</v>
      </c>
      <c r="BT29" s="85"/>
      <c r="BU29" s="85" t="str">
        <f>IF(OR(ISBLANK(AB29),ISBLANK(AD29)),"N/A",IF(ABS((AD29-AB29)/AB29)&gt;0.25,"&gt; 25%","ok"))</f>
        <v>N/A</v>
      </c>
      <c r="BV29" s="85"/>
      <c r="BW29" s="85" t="str">
        <f>IF(OR(ISBLANK(AD29),ISBLANK(AF29)),"N/A",IF(ABS((AF29-AD29)/AD29)&gt;0.25,"&gt; 25%","ok"))</f>
        <v>N/A</v>
      </c>
      <c r="BX29" s="85"/>
      <c r="BY29" s="85" t="str">
        <f>IF(OR(ISBLANK(AF29),ISBLANK(AH29)),"N/A",IF(ABS((AH29-AF29)/AF29)&gt;0.25,"&gt; 25%","ok"))</f>
        <v>N/A</v>
      </c>
      <c r="BZ29" s="85"/>
      <c r="CA29" s="85" t="str">
        <f>IF(OR(ISBLANK(AH29),ISBLANK(AN29)),"N/A",IF(ABS((AN29-AH29)/AH29)&gt;0.25,"&gt; 25%","ok"))</f>
        <v>N/A</v>
      </c>
      <c r="CB29" s="85"/>
      <c r="CC29" s="85" t="str">
        <f>IF(OR(ISBLANK(AJ29),ISBLANK(AL29)),"N/A",IF(ABS((AL29-AJ29)/AJ29)&gt;0.25,"&gt; 25%","ok"))</f>
        <v>N/A</v>
      </c>
      <c r="CD29" s="85"/>
      <c r="CE29" s="85" t="str">
        <f>IF(OR(ISBLANK(AL29),ISBLANK(AN29)),"N/A",IF(ABS((AN29-AL29)/AL29)&gt;0.25,"&gt; 25%","ok"))</f>
        <v>N/A</v>
      </c>
      <c r="CF29" s="85"/>
      <c r="CG29" s="85" t="str">
        <f>IF(OR(ISBLANK(AN29),ISBLANK(AT29)),"N/A",IF(ABS((AT29-AN29)/AN29)&gt;0.25,"&gt; 25%","ok"))</f>
        <v>N/A</v>
      </c>
      <c r="CH29" s="85"/>
    </row>
    <row r="30" spans="1:86" s="412" customFormat="1" ht="15" customHeight="1">
      <c r="A30" s="230"/>
      <c r="B30" s="397">
        <v>283</v>
      </c>
      <c r="C30" s="422">
        <v>21</v>
      </c>
      <c r="D30" s="398" t="s">
        <v>477</v>
      </c>
      <c r="E30" s="279" t="s">
        <v>372</v>
      </c>
      <c r="F30" s="640"/>
      <c r="G30" s="873"/>
      <c r="H30" s="640"/>
      <c r="I30" s="873"/>
      <c r="J30" s="640"/>
      <c r="K30" s="873"/>
      <c r="L30" s="640"/>
      <c r="M30" s="873"/>
      <c r="N30" s="640"/>
      <c r="O30" s="873"/>
      <c r="P30" s="640"/>
      <c r="Q30" s="873"/>
      <c r="R30" s="640"/>
      <c r="S30" s="873"/>
      <c r="T30" s="640"/>
      <c r="U30" s="873"/>
      <c r="V30" s="640"/>
      <c r="W30" s="873"/>
      <c r="X30" s="640"/>
      <c r="Y30" s="873"/>
      <c r="Z30" s="640"/>
      <c r="AA30" s="873"/>
      <c r="AB30" s="640"/>
      <c r="AC30" s="873"/>
      <c r="AD30" s="640"/>
      <c r="AE30" s="873"/>
      <c r="AF30" s="640"/>
      <c r="AG30" s="873"/>
      <c r="AH30" s="640"/>
      <c r="AI30" s="873"/>
      <c r="AJ30" s="640"/>
      <c r="AK30" s="873"/>
      <c r="AL30" s="640"/>
      <c r="AM30" s="873"/>
      <c r="AN30" s="640"/>
      <c r="AO30" s="873"/>
      <c r="AP30" s="640"/>
      <c r="AQ30" s="873"/>
      <c r="AS30" s="233"/>
      <c r="AT30" s="423">
        <v>21</v>
      </c>
      <c r="AU30" s="321" t="s">
        <v>477</v>
      </c>
      <c r="AV30" s="87" t="s">
        <v>372</v>
      </c>
      <c r="AW30" s="85" t="s">
        <v>99</v>
      </c>
      <c r="AX30" s="272"/>
      <c r="AY30" s="85" t="str">
        <f>IF(OR(ISBLANK(F30),ISBLANK(H30)),"N/A",IF(ABS((H30-F30)/F30)&gt;1,"&gt; 100%","ok"))</f>
        <v>N/A</v>
      </c>
      <c r="AZ30" s="268"/>
      <c r="BA30" s="85" t="str">
        <f>IF(OR(ISBLANK(H30),ISBLANK(J30)),"N/A",IF(ABS((J30-H30)/H30)&gt;0.25,"&gt; 25%","ok"))</f>
        <v>N/A</v>
      </c>
      <c r="BB30" s="85"/>
      <c r="BC30" s="85" t="str">
        <f>IF(OR(ISBLANK(J30),ISBLANK(L30)),"N/A",IF(ABS((L30-J30)/J30)&gt;0.25,"&gt; 25%","ok"))</f>
        <v>N/A</v>
      </c>
      <c r="BD30" s="85"/>
      <c r="BE30" s="85" t="str">
        <f>IF(OR(ISBLANK(L30),ISBLANK(N30)),"N/A",IF(ABS((N30-L30)/L30)&gt;0.25,"&gt; 25%","ok"))</f>
        <v>N/A</v>
      </c>
      <c r="BF30" s="85"/>
      <c r="BG30" s="85" t="str">
        <f>IF(OR(ISBLANK(N30),ISBLANK(P30)),"N/A",IF(ABS((P30-N30)/N30)&gt;0.25,"&gt; 25%","ok"))</f>
        <v>N/A</v>
      </c>
      <c r="BH30" s="85"/>
      <c r="BI30" s="85" t="str">
        <f>IF(OR(ISBLANK(P30),ISBLANK(R30)),"N/A",IF(ABS((R30-P30)/P30)&gt;0.25,"&gt; 25%","ok"))</f>
        <v>N/A</v>
      </c>
      <c r="BJ30" s="85"/>
      <c r="BK30" s="85" t="str">
        <f>IF(OR(ISBLANK(R30),ISBLANK(T30)),"N/A",IF(ABS((T30-R30)/R30)&gt;0.25,"&gt; 25%","ok"))</f>
        <v>N/A</v>
      </c>
      <c r="BL30" s="85"/>
      <c r="BM30" s="85" t="str">
        <f>IF(OR(ISBLANK(T30),ISBLANK(V30)),"N/A",IF(ABS((V30-T30)/T30)&gt;0.25,"&gt; 25%","ok"))</f>
        <v>N/A</v>
      </c>
      <c r="BN30" s="85"/>
      <c r="BO30" s="85" t="str">
        <f>IF(OR(ISBLANK(V30),ISBLANK(X30)),"N/A",IF(ABS((X30-V30)/V30)&gt;0.25,"&gt; 25%","ok"))</f>
        <v>N/A</v>
      </c>
      <c r="BP30" s="85"/>
      <c r="BQ30" s="85" t="str">
        <f>IF(OR(ISBLANK(X30),ISBLANK(Z30)),"N/A",IF(ABS((Z30-X30)/X30)&gt;0.25,"&gt; 25%","ok"))</f>
        <v>N/A</v>
      </c>
      <c r="BR30" s="85"/>
      <c r="BS30" s="85" t="str">
        <f>IF(OR(ISBLANK(Z30),ISBLANK(AB30)),"N/A",IF(ABS((AB30-Z30)/Z30)&gt;0.25,"&gt; 25%","ok"))</f>
        <v>N/A</v>
      </c>
      <c r="BT30" s="85"/>
      <c r="BU30" s="85" t="str">
        <f>IF(OR(ISBLANK(AB30),ISBLANK(AD30)),"N/A",IF(ABS((AD30-AB30)/AB30)&gt;0.25,"&gt; 25%","ok"))</f>
        <v>N/A</v>
      </c>
      <c r="BV30" s="85"/>
      <c r="BW30" s="85" t="str">
        <f>IF(OR(ISBLANK(AD30),ISBLANK(AF30)),"N/A",IF(ABS((AF30-AD30)/AD30)&gt;0.25,"&gt; 25%","ok"))</f>
        <v>N/A</v>
      </c>
      <c r="BX30" s="85"/>
      <c r="BY30" s="85" t="str">
        <f>IF(OR(ISBLANK(AF30),ISBLANK(AH30)),"N/A",IF(ABS((AH30-AF30)/AF30)&gt;0.25,"&gt; 25%","ok"))</f>
        <v>N/A</v>
      </c>
      <c r="BZ30" s="85"/>
      <c r="CA30" s="85" t="str">
        <f>IF(OR(ISBLANK(AH30),ISBLANK(AN30)),"N/A",IF(ABS((AN30-AH30)/AH30)&gt;0.25,"&gt; 25%","ok"))</f>
        <v>N/A</v>
      </c>
      <c r="CB30" s="85"/>
      <c r="CC30" s="85" t="str">
        <f>IF(OR(ISBLANK(AJ30),ISBLANK(AL30)),"N/A",IF(ABS((AL30-AJ30)/AJ30)&gt;0.25,"&gt; 25%","ok"))</f>
        <v>N/A</v>
      </c>
      <c r="CD30" s="85"/>
      <c r="CE30" s="85" t="str">
        <f>IF(OR(ISBLANK(AL30),ISBLANK(AN30)),"N/A",IF(ABS((AN30-AL30)/AL30)&gt;0.25,"&gt; 25%","ok"))</f>
        <v>N/A</v>
      </c>
      <c r="CF30" s="85"/>
      <c r="CG30" s="85" t="str">
        <f>IF(OR(ISBLANK(AN30),ISBLANK(AT30)),"N/A",IF(ABS((AT30-AN30)/AN30)&gt;0.25,"&gt; 25%","ok"))</f>
        <v>N/A</v>
      </c>
      <c r="CH30" s="85"/>
    </row>
    <row r="31" spans="1:86" s="412" customFormat="1" ht="15" customHeight="1">
      <c r="A31" s="230"/>
      <c r="B31" s="397">
        <v>284</v>
      </c>
      <c r="C31" s="424">
        <v>22</v>
      </c>
      <c r="D31" s="293" t="s">
        <v>478</v>
      </c>
      <c r="E31" s="425" t="s">
        <v>372</v>
      </c>
      <c r="F31" s="645"/>
      <c r="G31" s="875"/>
      <c r="H31" s="645"/>
      <c r="I31" s="875"/>
      <c r="J31" s="645"/>
      <c r="K31" s="875"/>
      <c r="L31" s="645"/>
      <c r="M31" s="875"/>
      <c r="N31" s="645"/>
      <c r="O31" s="875"/>
      <c r="P31" s="645"/>
      <c r="Q31" s="875"/>
      <c r="R31" s="645"/>
      <c r="S31" s="875"/>
      <c r="T31" s="645"/>
      <c r="U31" s="875"/>
      <c r="V31" s="645"/>
      <c r="W31" s="875"/>
      <c r="X31" s="645"/>
      <c r="Y31" s="875"/>
      <c r="Z31" s="645"/>
      <c r="AA31" s="875"/>
      <c r="AB31" s="645"/>
      <c r="AC31" s="875"/>
      <c r="AD31" s="645"/>
      <c r="AE31" s="875"/>
      <c r="AF31" s="645"/>
      <c r="AG31" s="875"/>
      <c r="AH31" s="645"/>
      <c r="AI31" s="875"/>
      <c r="AJ31" s="645"/>
      <c r="AK31" s="875"/>
      <c r="AL31" s="645"/>
      <c r="AM31" s="875"/>
      <c r="AN31" s="645"/>
      <c r="AO31" s="875"/>
      <c r="AP31" s="645"/>
      <c r="AQ31" s="875"/>
      <c r="AS31" s="233"/>
      <c r="AT31" s="423">
        <v>22</v>
      </c>
      <c r="AU31" s="271" t="s">
        <v>478</v>
      </c>
      <c r="AV31" s="87" t="s">
        <v>372</v>
      </c>
      <c r="AW31" s="85" t="s">
        <v>99</v>
      </c>
      <c r="AX31" s="272"/>
      <c r="AY31" s="85" t="str">
        <f>IF(OR(ISBLANK(F31),ISBLANK(H31)),"N/A",IF(ABS((H31-F31)/F31)&gt;1,"&gt; 100%","ok"))</f>
        <v>N/A</v>
      </c>
      <c r="AZ31" s="268"/>
      <c r="BA31" s="85" t="str">
        <f>IF(OR(ISBLANK(H31),ISBLANK(J31)),"N/A",IF(ABS((J31-H31)/H31)&gt;0.25,"&gt; 25%","ok"))</f>
        <v>N/A</v>
      </c>
      <c r="BB31" s="85"/>
      <c r="BC31" s="85" t="str">
        <f>IF(OR(ISBLANK(J31),ISBLANK(L31)),"N/A",IF(ABS((L31-J31)/J31)&gt;0.25,"&gt; 25%","ok"))</f>
        <v>N/A</v>
      </c>
      <c r="BD31" s="85"/>
      <c r="BE31" s="85" t="str">
        <f>IF(OR(ISBLANK(L31),ISBLANK(N31)),"N/A",IF(ABS((N31-L31)/L31)&gt;0.25,"&gt; 25%","ok"))</f>
        <v>N/A</v>
      </c>
      <c r="BF31" s="85"/>
      <c r="BG31" s="85" t="str">
        <f>IF(OR(ISBLANK(N31),ISBLANK(P31)),"N/A",IF(ABS((P31-N31)/N31)&gt;0.25,"&gt; 25%","ok"))</f>
        <v>N/A</v>
      </c>
      <c r="BH31" s="85"/>
      <c r="BI31" s="85" t="str">
        <f>IF(OR(ISBLANK(P31),ISBLANK(R31)),"N/A",IF(ABS((R31-P31)/P31)&gt;0.25,"&gt; 25%","ok"))</f>
        <v>N/A</v>
      </c>
      <c r="BJ31" s="85"/>
      <c r="BK31" s="85" t="str">
        <f>IF(OR(ISBLANK(R31),ISBLANK(T31)),"N/A",IF(ABS((T31-R31)/R31)&gt;0.25,"&gt; 25%","ok"))</f>
        <v>N/A</v>
      </c>
      <c r="BL31" s="85"/>
      <c r="BM31" s="85" t="str">
        <f>IF(OR(ISBLANK(T31),ISBLANK(V31)),"N/A",IF(ABS((V31-T31)/T31)&gt;0.25,"&gt; 25%","ok"))</f>
        <v>N/A</v>
      </c>
      <c r="BN31" s="85"/>
      <c r="BO31" s="85" t="str">
        <f>IF(OR(ISBLANK(V31),ISBLANK(X31)),"N/A",IF(ABS((X31-V31)/V31)&gt;0.25,"&gt; 25%","ok"))</f>
        <v>N/A</v>
      </c>
      <c r="BP31" s="85"/>
      <c r="BQ31" s="85" t="str">
        <f>IF(OR(ISBLANK(X31),ISBLANK(Z31)),"N/A",IF(ABS((Z31-X31)/X31)&gt;0.25,"&gt; 25%","ok"))</f>
        <v>N/A</v>
      </c>
      <c r="BR31" s="85"/>
      <c r="BS31" s="85" t="str">
        <f>IF(OR(ISBLANK(Z31),ISBLANK(AB31)),"N/A",IF(ABS((AB31-Z31)/Z31)&gt;0.25,"&gt; 25%","ok"))</f>
        <v>N/A</v>
      </c>
      <c r="BT31" s="85"/>
      <c r="BU31" s="85" t="str">
        <f>IF(OR(ISBLANK(AB31),ISBLANK(AD31)),"N/A",IF(ABS((AD31-AB31)/AB31)&gt;0.25,"&gt; 25%","ok"))</f>
        <v>N/A</v>
      </c>
      <c r="BV31" s="85"/>
      <c r="BW31" s="85" t="str">
        <f>IF(OR(ISBLANK(AD31),ISBLANK(AF31)),"N/A",IF(ABS((AF31-AD31)/AD31)&gt;0.25,"&gt; 25%","ok"))</f>
        <v>N/A</v>
      </c>
      <c r="BX31" s="85"/>
      <c r="BY31" s="85" t="str">
        <f>IF(OR(ISBLANK(AF31),ISBLANK(AH31)),"N/A",IF(ABS((AH31-AF31)/AF31)&gt;0.25,"&gt; 25%","ok"))</f>
        <v>N/A</v>
      </c>
      <c r="BZ31" s="85"/>
      <c r="CA31" s="85" t="str">
        <f>IF(OR(ISBLANK(AH31),ISBLANK(AN31)),"N/A",IF(ABS((AN31-AH31)/AH31)&gt;0.25,"&gt; 25%","ok"))</f>
        <v>N/A</v>
      </c>
      <c r="CB31" s="85"/>
      <c r="CC31" s="85" t="str">
        <f>IF(OR(ISBLANK(AJ31),ISBLANK(AL31)),"N/A",IF(ABS((AL31-AJ31)/AJ31)&gt;0.25,"&gt; 25%","ok"))</f>
        <v>N/A</v>
      </c>
      <c r="CD31" s="85"/>
      <c r="CE31" s="85" t="str">
        <f>IF(OR(ISBLANK(AL31),ISBLANK(AN31)),"N/A",IF(ABS((AN31-AL31)/AL31)&gt;0.25,"&gt; 25%","ok"))</f>
        <v>N/A</v>
      </c>
      <c r="CF31" s="85"/>
      <c r="CG31" s="85" t="str">
        <f>IF(OR(ISBLANK(AN31),ISBLANK(AT31)),"N/A",IF(ABS((AT31-AN31)/AN31)&gt;0.25,"&gt; 25%","ok"))</f>
        <v>N/A</v>
      </c>
      <c r="CH31" s="85"/>
    </row>
    <row r="32" spans="3:46" ht="16.5" customHeight="1">
      <c r="C32" s="385" t="s">
        <v>363</v>
      </c>
      <c r="D32" s="296"/>
      <c r="E32" s="426"/>
      <c r="F32" s="427"/>
      <c r="AT32" s="396" t="s">
        <v>54</v>
      </c>
    </row>
    <row r="33" spans="3:86" ht="24.75" customHeight="1">
      <c r="C33" s="305" t="s">
        <v>169</v>
      </c>
      <c r="D33" s="739" t="s">
        <v>238</v>
      </c>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39"/>
      <c r="AL33" s="739"/>
      <c r="AM33" s="739"/>
      <c r="AN33" s="739"/>
      <c r="AO33" s="739"/>
      <c r="AP33" s="739"/>
      <c r="AQ33" s="739"/>
      <c r="AR33" s="739"/>
      <c r="AT33" s="253" t="s">
        <v>359</v>
      </c>
      <c r="AU33" s="253" t="s">
        <v>361</v>
      </c>
      <c r="AV33" s="253" t="s">
        <v>364</v>
      </c>
      <c r="AW33" s="252">
        <v>1990</v>
      </c>
      <c r="AX33" s="254"/>
      <c r="AY33" s="253">
        <v>1995</v>
      </c>
      <c r="AZ33" s="254"/>
      <c r="BA33" s="253">
        <v>1996</v>
      </c>
      <c r="BB33" s="254"/>
      <c r="BC33" s="253">
        <v>1997</v>
      </c>
      <c r="BD33" s="254"/>
      <c r="BE33" s="253">
        <v>1998</v>
      </c>
      <c r="BF33" s="254"/>
      <c r="BG33" s="253">
        <v>1999</v>
      </c>
      <c r="BH33" s="254"/>
      <c r="BI33" s="253">
        <v>2000</v>
      </c>
      <c r="BJ33" s="254"/>
      <c r="BK33" s="253">
        <v>2001</v>
      </c>
      <c r="BL33" s="254"/>
      <c r="BM33" s="253">
        <v>2002</v>
      </c>
      <c r="BN33" s="254"/>
      <c r="BO33" s="253">
        <v>2003</v>
      </c>
      <c r="BP33" s="254"/>
      <c r="BQ33" s="253">
        <v>2004</v>
      </c>
      <c r="BR33" s="254"/>
      <c r="BS33" s="253">
        <v>2005</v>
      </c>
      <c r="BT33" s="254"/>
      <c r="BU33" s="253">
        <v>2006</v>
      </c>
      <c r="BV33" s="254"/>
      <c r="BW33" s="253">
        <v>2007</v>
      </c>
      <c r="BX33" s="254"/>
      <c r="BY33" s="253">
        <v>2008</v>
      </c>
      <c r="BZ33" s="254"/>
      <c r="CA33" s="253">
        <v>2009</v>
      </c>
      <c r="CB33" s="254"/>
      <c r="CC33" s="253">
        <v>2010</v>
      </c>
      <c r="CD33" s="254"/>
      <c r="CE33" s="253">
        <v>2011</v>
      </c>
      <c r="CF33" s="254"/>
      <c r="CG33" s="253">
        <v>2012</v>
      </c>
      <c r="CH33" s="254"/>
    </row>
    <row r="34" spans="3:86" ht="15" customHeight="1">
      <c r="C34" s="305" t="s">
        <v>169</v>
      </c>
      <c r="D34" s="739" t="s">
        <v>321</v>
      </c>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739"/>
      <c r="AO34" s="739"/>
      <c r="AP34" s="739"/>
      <c r="AQ34" s="739"/>
      <c r="AR34" s="739"/>
      <c r="AT34" s="408"/>
      <c r="AU34" s="428" t="s">
        <v>24</v>
      </c>
      <c r="AV34" s="408"/>
      <c r="AW34" s="88"/>
      <c r="AX34" s="272"/>
      <c r="AY34" s="88"/>
      <c r="AZ34" s="272"/>
      <c r="BA34" s="88"/>
      <c r="BB34" s="272"/>
      <c r="BC34" s="88"/>
      <c r="BD34" s="272"/>
      <c r="BE34" s="88"/>
      <c r="BF34" s="272"/>
      <c r="BG34" s="87"/>
      <c r="BH34" s="272"/>
      <c r="BI34" s="87"/>
      <c r="BJ34" s="272"/>
      <c r="BK34" s="87"/>
      <c r="BL34" s="272"/>
      <c r="BM34" s="87"/>
      <c r="BN34" s="272"/>
      <c r="BO34" s="87"/>
      <c r="BP34" s="272"/>
      <c r="BQ34" s="87"/>
      <c r="BR34" s="272"/>
      <c r="BS34" s="88"/>
      <c r="BT34" s="272"/>
      <c r="BU34" s="87"/>
      <c r="BV34" s="272"/>
      <c r="BW34" s="87"/>
      <c r="BX34" s="272"/>
      <c r="BY34" s="87"/>
      <c r="BZ34" s="272"/>
      <c r="CA34" s="87"/>
      <c r="CB34" s="272"/>
      <c r="CC34" s="87"/>
      <c r="CD34" s="272"/>
      <c r="CE34" s="87"/>
      <c r="CF34" s="272"/>
      <c r="CG34" s="87"/>
      <c r="CH34" s="272"/>
    </row>
    <row r="35" spans="1:100" s="211" customFormat="1" ht="24.75" customHeight="1">
      <c r="A35" s="307"/>
      <c r="B35" s="307"/>
      <c r="C35" s="305" t="s">
        <v>169</v>
      </c>
      <c r="D35" s="735" t="s">
        <v>170</v>
      </c>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429"/>
      <c r="AT35" s="430">
        <v>3</v>
      </c>
      <c r="AU35" s="622" t="s">
        <v>142</v>
      </c>
      <c r="AV35" s="105" t="s">
        <v>372</v>
      </c>
      <c r="AW35" s="85">
        <f>F10</f>
        <v>0</v>
      </c>
      <c r="AX35" s="85"/>
      <c r="AY35" s="85">
        <f>H10</f>
        <v>0</v>
      </c>
      <c r="AZ35" s="85"/>
      <c r="BA35" s="85">
        <f>J10</f>
        <v>0</v>
      </c>
      <c r="BB35" s="85"/>
      <c r="BC35" s="85">
        <f>L10</f>
        <v>0</v>
      </c>
      <c r="BD35" s="85"/>
      <c r="BE35" s="85">
        <f>N10</f>
        <v>0</v>
      </c>
      <c r="BF35" s="85"/>
      <c r="BG35" s="85">
        <f>P10</f>
        <v>0</v>
      </c>
      <c r="BH35" s="85"/>
      <c r="BI35" s="85">
        <f>R10</f>
        <v>0</v>
      </c>
      <c r="BJ35" s="85"/>
      <c r="BK35" s="85">
        <f>T10</f>
        <v>0</v>
      </c>
      <c r="BL35" s="85"/>
      <c r="BM35" s="85">
        <f>V10</f>
        <v>0</v>
      </c>
      <c r="BN35" s="85"/>
      <c r="BO35" s="85">
        <f>X10</f>
        <v>0</v>
      </c>
      <c r="BP35" s="85"/>
      <c r="BQ35" s="85">
        <f>Z10</f>
        <v>0</v>
      </c>
      <c r="BR35" s="85"/>
      <c r="BS35" s="85">
        <f>AB10</f>
        <v>0</v>
      </c>
      <c r="BT35" s="85"/>
      <c r="BU35" s="85">
        <f>AD10</f>
        <v>0</v>
      </c>
      <c r="BV35" s="85"/>
      <c r="BW35" s="85">
        <f>AF10</f>
        <v>0</v>
      </c>
      <c r="BX35" s="85"/>
      <c r="BY35" s="85">
        <f>AH10</f>
        <v>0</v>
      </c>
      <c r="BZ35" s="85"/>
      <c r="CA35" s="85">
        <f>AJ10</f>
        <v>0</v>
      </c>
      <c r="CB35" s="85"/>
      <c r="CC35" s="85">
        <f>AL10</f>
        <v>0</v>
      </c>
      <c r="CD35" s="85"/>
      <c r="CE35" s="85">
        <f>AN10</f>
        <v>0</v>
      </c>
      <c r="CF35" s="85"/>
      <c r="CG35" s="85">
        <f>AP10</f>
        <v>0</v>
      </c>
      <c r="CH35" s="268"/>
      <c r="CI35" s="312"/>
      <c r="CJ35" s="312"/>
      <c r="CK35" s="312"/>
      <c r="CL35" s="312"/>
      <c r="CM35" s="312"/>
      <c r="CN35" s="312"/>
      <c r="CO35" s="312"/>
      <c r="CP35" s="312"/>
      <c r="CQ35" s="312"/>
      <c r="CR35" s="312"/>
      <c r="CS35" s="312"/>
      <c r="CT35" s="312"/>
      <c r="CU35" s="312"/>
      <c r="CV35" s="312"/>
    </row>
    <row r="36" spans="1:100" s="211" customFormat="1" ht="25.5" customHeight="1">
      <c r="A36" s="307"/>
      <c r="B36" s="307"/>
      <c r="C36" s="305" t="s">
        <v>169</v>
      </c>
      <c r="D36" s="739" t="s">
        <v>131</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429"/>
      <c r="AT36" s="329">
        <v>23</v>
      </c>
      <c r="AU36" s="431" t="s">
        <v>278</v>
      </c>
      <c r="AV36" s="105" t="s">
        <v>372</v>
      </c>
      <c r="AW36" s="88">
        <f>F8+F9</f>
        <v>0</v>
      </c>
      <c r="AX36" s="88"/>
      <c r="AY36" s="88">
        <f>H8+H9</f>
        <v>0</v>
      </c>
      <c r="AZ36" s="88"/>
      <c r="BA36" s="88">
        <f>J8+J9</f>
        <v>0</v>
      </c>
      <c r="BB36" s="88"/>
      <c r="BC36" s="88">
        <f>L8+L9</f>
        <v>0</v>
      </c>
      <c r="BD36" s="88"/>
      <c r="BE36" s="88">
        <f>N8+N9</f>
        <v>0</v>
      </c>
      <c r="BF36" s="88"/>
      <c r="BG36" s="88">
        <f>P8+P9</f>
        <v>0</v>
      </c>
      <c r="BH36" s="88"/>
      <c r="BI36" s="88">
        <f>R8+R9</f>
        <v>0</v>
      </c>
      <c r="BJ36" s="88"/>
      <c r="BK36" s="88">
        <f>T8+T9</f>
        <v>0</v>
      </c>
      <c r="BL36" s="88"/>
      <c r="BM36" s="88">
        <f>V8+V9</f>
        <v>0</v>
      </c>
      <c r="BN36" s="88"/>
      <c r="BO36" s="88">
        <f>X8+X9</f>
        <v>0</v>
      </c>
      <c r="BP36" s="88"/>
      <c r="BQ36" s="88">
        <f>Z8+Z9</f>
        <v>0</v>
      </c>
      <c r="BR36" s="88"/>
      <c r="BS36" s="88">
        <f>AB8+AB9</f>
        <v>0</v>
      </c>
      <c r="BT36" s="88"/>
      <c r="BU36" s="88">
        <f>AD8+AD9</f>
        <v>0</v>
      </c>
      <c r="BV36" s="88"/>
      <c r="BW36" s="88">
        <f>AF8+AF9</f>
        <v>0</v>
      </c>
      <c r="BX36" s="88"/>
      <c r="BY36" s="88">
        <f>AH8+AH9</f>
        <v>0</v>
      </c>
      <c r="BZ36" s="88"/>
      <c r="CA36" s="88">
        <f>AJ8+AJ9</f>
        <v>0</v>
      </c>
      <c r="CB36" s="88"/>
      <c r="CC36" s="88">
        <f>AL8+AL9</f>
        <v>0</v>
      </c>
      <c r="CD36" s="88"/>
      <c r="CE36" s="88">
        <f>AN8+AN9</f>
        <v>0</v>
      </c>
      <c r="CF36" s="88"/>
      <c r="CG36" s="88">
        <f>AP8+AP9</f>
        <v>0</v>
      </c>
      <c r="CH36" s="272"/>
      <c r="CI36" s="312"/>
      <c r="CJ36" s="312"/>
      <c r="CK36" s="312"/>
      <c r="CL36" s="312"/>
      <c r="CM36" s="312"/>
      <c r="CN36" s="312"/>
      <c r="CO36" s="312"/>
      <c r="CP36" s="312"/>
      <c r="CQ36" s="312"/>
      <c r="CR36" s="312"/>
      <c r="CS36" s="312"/>
      <c r="CT36" s="312"/>
      <c r="CU36" s="312"/>
      <c r="CV36" s="312"/>
    </row>
    <row r="37" spans="1:100" s="211" customFormat="1" ht="15" customHeight="1">
      <c r="A37" s="307"/>
      <c r="B37" s="307"/>
      <c r="C37" s="305" t="s">
        <v>169</v>
      </c>
      <c r="D37" s="735" t="s">
        <v>632</v>
      </c>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429"/>
      <c r="AT37" s="314" t="s">
        <v>208</v>
      </c>
      <c r="AU37" s="431" t="s">
        <v>279</v>
      </c>
      <c r="AV37" s="105"/>
      <c r="AW37" s="85" t="str">
        <f>IF(OR(ISBLANK(F8),ISBLANK(F9),ISBLANK(F10)),"N/A",IF((AW35=AW36),"ok","&lt;&gt;"))</f>
        <v>N/A</v>
      </c>
      <c r="AX37" s="85"/>
      <c r="AY37" s="85" t="str">
        <f>IF(OR(ISBLANK(H8),ISBLANK(H9),ISBLANK(H10)),"N/A",IF((AY35=AY36),"ok","&lt;&gt;"))</f>
        <v>N/A</v>
      </c>
      <c r="AZ37" s="85"/>
      <c r="BA37" s="85" t="str">
        <f>IF(OR(ISBLANK(J8),ISBLANK(J9),ISBLANK(J10)),"N/A",IF((BA35=BA36),"ok","&lt;&gt;"))</f>
        <v>N/A</v>
      </c>
      <c r="BB37" s="85"/>
      <c r="BC37" s="85" t="str">
        <f>IF(OR(ISBLANK(L8),ISBLANK(L9),ISBLANK(L10)),"N/A",IF((BC35=BC36),"ok","&lt;&gt;"))</f>
        <v>N/A</v>
      </c>
      <c r="BD37" s="85"/>
      <c r="BE37" s="85" t="str">
        <f>IF(OR(ISBLANK(N8),ISBLANK(N9),ISBLANK(N10)),"N/A",IF((BE35=BE36),"ok","&lt;&gt;"))</f>
        <v>N/A</v>
      </c>
      <c r="BF37" s="85"/>
      <c r="BG37" s="85" t="str">
        <f>IF(OR(ISBLANK(P8),ISBLANK(P9),ISBLANK(P10)),"N/A",IF((BG35=BG36),"ok","&lt;&gt;"))</f>
        <v>N/A</v>
      </c>
      <c r="BH37" s="85"/>
      <c r="BI37" s="85" t="str">
        <f>IF(OR(ISBLANK(R8),ISBLANK(R9),ISBLANK(R10)),"N/A",IF((BI35=BI36),"ok","&lt;&gt;"))</f>
        <v>N/A</v>
      </c>
      <c r="BJ37" s="85"/>
      <c r="BK37" s="85" t="str">
        <f>IF(OR(ISBLANK(T8),ISBLANK(T9),ISBLANK(T10)),"N/A",IF((BK35=BK36),"ok","&lt;&gt;"))</f>
        <v>N/A</v>
      </c>
      <c r="BL37" s="85"/>
      <c r="BM37" s="85" t="str">
        <f>IF(OR(ISBLANK(V8),ISBLANK(V9),ISBLANK(V10)),"N/A",IF((BM35=BM36),"ok","&lt;&gt;"))</f>
        <v>N/A</v>
      </c>
      <c r="BN37" s="85"/>
      <c r="BO37" s="85" t="str">
        <f>IF(OR(ISBLANK(X8),ISBLANK(X9),ISBLANK(X10)),"N/A",IF((BO35=BO36),"ok","&lt;&gt;"))</f>
        <v>N/A</v>
      </c>
      <c r="BP37" s="85"/>
      <c r="BQ37" s="85" t="str">
        <f>IF(OR(ISBLANK(Z8),ISBLANK(Z9),ISBLANK(Z10)),"N/A",IF((BQ35=BQ36),"ok","&lt;&gt;"))</f>
        <v>N/A</v>
      </c>
      <c r="BR37" s="85"/>
      <c r="BS37" s="85" t="str">
        <f>IF(OR(ISBLANK(AB8),ISBLANK(AB9),ISBLANK(AB10)),"N/A",IF((BS35=BS36),"ok","&lt;&gt;"))</f>
        <v>N/A</v>
      </c>
      <c r="BT37" s="85"/>
      <c r="BU37" s="85" t="str">
        <f>IF(OR(ISBLANK(AD8),ISBLANK(AD9),ISBLANK(AD10)),"N/A",IF((BU35=BU36),"ok","&lt;&gt;"))</f>
        <v>N/A</v>
      </c>
      <c r="BV37" s="85"/>
      <c r="BW37" s="85" t="str">
        <f>IF(OR(ISBLANK(AF8),ISBLANK(AF9),ISBLANK(AF10)),"N/A",IF((BW35=BW36),"ok","&lt;&gt;"))</f>
        <v>N/A</v>
      </c>
      <c r="BX37" s="85"/>
      <c r="BY37" s="85" t="str">
        <f>IF(OR(ISBLANK(AH8),ISBLANK(AH9),ISBLANK(AH10)),"N/A",IF((BY35=BY36),"ok","&lt;&gt;"))</f>
        <v>N/A</v>
      </c>
      <c r="BZ37" s="85"/>
      <c r="CA37" s="85" t="str">
        <f>IF(OR(ISBLANK(AJ8),ISBLANK(AJ9),ISBLANK(AJ10)),"N/A",IF((CA35=CA36),"ok","&lt;&gt;"))</f>
        <v>N/A</v>
      </c>
      <c r="CB37" s="85"/>
      <c r="CC37" s="85" t="str">
        <f>IF(OR(ISBLANK(AL8),ISBLANK(AL9),ISBLANK(AL10)),"N/A",IF((CC35=CC36),"ok","&lt;&gt;"))</f>
        <v>N/A</v>
      </c>
      <c r="CD37" s="85"/>
      <c r="CE37" s="85" t="str">
        <f>IF(OR(ISBLANK(AN8),ISBLANK(AN9),ISBLANK(AN10)),"N/A",IF((CE35=CE36),"ok","&lt;&gt;"))</f>
        <v>N/A</v>
      </c>
      <c r="CF37" s="85"/>
      <c r="CG37" s="85" t="str">
        <f>IF(OR(ISBLANK(AP8),ISBLANK(AP9),ISBLANK(AP10)),"N/A",IF((CG35=CG36),"ok","&lt;&gt;"))</f>
        <v>N/A</v>
      </c>
      <c r="CH37" s="268"/>
      <c r="CI37" s="312"/>
      <c r="CJ37" s="312"/>
      <c r="CK37" s="312"/>
      <c r="CL37" s="312"/>
      <c r="CM37" s="312"/>
      <c r="CN37" s="312"/>
      <c r="CO37" s="312"/>
      <c r="CP37" s="312"/>
      <c r="CQ37" s="312"/>
      <c r="CR37" s="312"/>
      <c r="CS37" s="312"/>
      <c r="CT37" s="312"/>
      <c r="CU37" s="312"/>
      <c r="CV37" s="312"/>
    </row>
    <row r="38" spans="1:86" s="412" customFormat="1" ht="19.5" customHeight="1">
      <c r="A38" s="230"/>
      <c r="B38" s="199"/>
      <c r="C38" s="604"/>
      <c r="D38" s="322"/>
      <c r="E38" s="783" t="str">
        <f>LEFT(D10,LEN(D10)-7)&amp;" (W2,3)"</f>
        <v>Freshwater abstracted (W2,3)</v>
      </c>
      <c r="F38" s="784"/>
      <c r="G38" s="784"/>
      <c r="H38" s="784"/>
      <c r="I38" s="784"/>
      <c r="J38" s="784"/>
      <c r="K38" s="784"/>
      <c r="L38" s="784"/>
      <c r="M38" s="784"/>
      <c r="N38" s="784"/>
      <c r="O38" s="784"/>
      <c r="P38" s="784"/>
      <c r="Q38" s="784"/>
      <c r="R38" s="784"/>
      <c r="S38" s="784"/>
      <c r="T38" s="784"/>
      <c r="U38" s="784"/>
      <c r="V38" s="784"/>
      <c r="W38" s="605"/>
      <c r="X38" s="322"/>
      <c r="Y38" s="606"/>
      <c r="Z38" s="606"/>
      <c r="AA38" s="606"/>
      <c r="AB38" s="606"/>
      <c r="AC38" s="606"/>
      <c r="AD38" s="606"/>
      <c r="AE38" s="606"/>
      <c r="AF38" s="606"/>
      <c r="AG38" s="606"/>
      <c r="AH38" s="606"/>
      <c r="AI38" s="606"/>
      <c r="AJ38" s="606"/>
      <c r="AK38" s="809"/>
      <c r="AL38" s="809"/>
      <c r="AM38" s="809"/>
      <c r="AN38" s="809"/>
      <c r="AO38" s="809"/>
      <c r="AP38" s="809"/>
      <c r="AQ38" s="606"/>
      <c r="AR38" s="211"/>
      <c r="AS38" s="233"/>
      <c r="AT38" s="408">
        <v>14</v>
      </c>
      <c r="AU38" s="501" t="s">
        <v>630</v>
      </c>
      <c r="AV38" s="105" t="s">
        <v>372</v>
      </c>
      <c r="AW38" s="88">
        <f>F22</f>
        <v>0</v>
      </c>
      <c r="AX38" s="88"/>
      <c r="AY38" s="88">
        <f>H22</f>
        <v>0</v>
      </c>
      <c r="AZ38" s="88"/>
      <c r="BA38" s="88">
        <f>J22</f>
        <v>0</v>
      </c>
      <c r="BB38" s="88"/>
      <c r="BC38" s="88">
        <f>L22</f>
        <v>0</v>
      </c>
      <c r="BD38" s="88"/>
      <c r="BE38" s="88">
        <f>N22</f>
        <v>0</v>
      </c>
      <c r="BF38" s="88"/>
      <c r="BG38" s="88">
        <f>P22</f>
        <v>0</v>
      </c>
      <c r="BH38" s="88"/>
      <c r="BI38" s="88">
        <f>R22</f>
        <v>0</v>
      </c>
      <c r="BJ38" s="88"/>
      <c r="BK38" s="88">
        <f>T22</f>
        <v>0</v>
      </c>
      <c r="BL38" s="88"/>
      <c r="BM38" s="88">
        <f>V22</f>
        <v>0</v>
      </c>
      <c r="BN38" s="88"/>
      <c r="BO38" s="88">
        <f>X22</f>
        <v>0</v>
      </c>
      <c r="BP38" s="88"/>
      <c r="BQ38" s="88">
        <f>Z22</f>
        <v>0</v>
      </c>
      <c r="BR38" s="88"/>
      <c r="BS38" s="88">
        <f>AB22</f>
        <v>0</v>
      </c>
      <c r="BT38" s="88"/>
      <c r="BU38" s="88">
        <f>AD22</f>
        <v>0</v>
      </c>
      <c r="BV38" s="88"/>
      <c r="BW38" s="88">
        <f>AF22</f>
        <v>0</v>
      </c>
      <c r="BX38" s="88"/>
      <c r="BY38" s="88">
        <f>AH22</f>
        <v>0</v>
      </c>
      <c r="BZ38" s="88"/>
      <c r="CA38" s="88">
        <f>AJ22</f>
        <v>0</v>
      </c>
      <c r="CB38" s="88"/>
      <c r="CC38" s="88">
        <f>AL22</f>
        <v>0</v>
      </c>
      <c r="CD38" s="88"/>
      <c r="CE38" s="88">
        <f>AN22</f>
        <v>0</v>
      </c>
      <c r="CF38" s="88"/>
      <c r="CG38" s="88">
        <f>AP22</f>
        <v>0</v>
      </c>
      <c r="CH38" s="272"/>
    </row>
    <row r="39" spans="3:86" ht="15" customHeight="1">
      <c r="C39" s="604"/>
      <c r="D39" s="607" t="str">
        <f>D11</f>
        <v>of which abstracted by:</v>
      </c>
      <c r="E39" s="608"/>
      <c r="F39" s="317"/>
      <c r="G39" s="317"/>
      <c r="H39" s="317"/>
      <c r="I39" s="317"/>
      <c r="J39" s="317"/>
      <c r="K39" s="317"/>
      <c r="L39" s="317"/>
      <c r="M39" s="317"/>
      <c r="N39" s="317"/>
      <c r="O39" s="317"/>
      <c r="P39" s="317"/>
      <c r="Q39" s="317"/>
      <c r="R39" s="317"/>
      <c r="S39" s="317"/>
      <c r="T39" s="317"/>
      <c r="U39" s="317"/>
      <c r="V39" s="317"/>
      <c r="W39" s="609"/>
      <c r="X39" s="609"/>
      <c r="Y39" s="606"/>
      <c r="Z39" s="606"/>
      <c r="AA39" s="606"/>
      <c r="AB39" s="606"/>
      <c r="AC39" s="606"/>
      <c r="AD39" s="606"/>
      <c r="AE39" s="606"/>
      <c r="AF39" s="606"/>
      <c r="AG39" s="606"/>
      <c r="AH39" s="606"/>
      <c r="AI39" s="606"/>
      <c r="AJ39" s="610"/>
      <c r="AK39" s="783" t="str">
        <f>D26&amp;" (W2,17)"</f>
        <v>    Households  (W2,17)</v>
      </c>
      <c r="AL39" s="784"/>
      <c r="AM39" s="784"/>
      <c r="AN39" s="784"/>
      <c r="AO39" s="784"/>
      <c r="AP39" s="784"/>
      <c r="AQ39" s="785"/>
      <c r="AR39" s="211"/>
      <c r="AT39" s="329">
        <v>24</v>
      </c>
      <c r="AU39" s="431" t="s">
        <v>280</v>
      </c>
      <c r="AV39" s="105" t="s">
        <v>372</v>
      </c>
      <c r="AW39" s="88">
        <f>F10+F18+F19+F20-F21</f>
        <v>0</v>
      </c>
      <c r="AX39" s="88"/>
      <c r="AY39" s="88">
        <f>H10+H18+H19+H20-H21</f>
        <v>0</v>
      </c>
      <c r="AZ39" s="88"/>
      <c r="BA39" s="88">
        <f>J10+J18+J19+J20-J21</f>
        <v>0</v>
      </c>
      <c r="BB39" s="88"/>
      <c r="BC39" s="88">
        <f>L10+L18+L19+L20-L21</f>
        <v>0</v>
      </c>
      <c r="BD39" s="88"/>
      <c r="BE39" s="88">
        <f>N10+N18+N19+N20-N21</f>
        <v>0</v>
      </c>
      <c r="BF39" s="88"/>
      <c r="BG39" s="88">
        <f>P10+P18+P19+P20-P21</f>
        <v>0</v>
      </c>
      <c r="BH39" s="88"/>
      <c r="BI39" s="88">
        <f>R10+R18+R19+R20-R21</f>
        <v>0</v>
      </c>
      <c r="BJ39" s="88"/>
      <c r="BK39" s="88">
        <f>T10+T18+T19+T20-T21</f>
        <v>0</v>
      </c>
      <c r="BL39" s="88"/>
      <c r="BM39" s="88">
        <f>V10+V18+V19+V20-V21</f>
        <v>0</v>
      </c>
      <c r="BN39" s="88"/>
      <c r="BO39" s="88">
        <f>X10+X18+X19+X20-X21</f>
        <v>0</v>
      </c>
      <c r="BP39" s="88"/>
      <c r="BQ39" s="88">
        <f>Z10+Z18+Z19+Z20-Z21</f>
        <v>0</v>
      </c>
      <c r="BR39" s="88"/>
      <c r="BS39" s="88">
        <f>AB10+AB18+AB19+AB20-AB21</f>
        <v>0</v>
      </c>
      <c r="BT39" s="88"/>
      <c r="BU39" s="88">
        <f>AD10+AD18+AD19+AD20-AD21</f>
        <v>0</v>
      </c>
      <c r="BV39" s="88"/>
      <c r="BW39" s="88">
        <f>AF10+AF18+AF19+AF20-AF21</f>
        <v>0</v>
      </c>
      <c r="BX39" s="88"/>
      <c r="BY39" s="88">
        <f>AH10+AH18+AH19+AH20-AH21</f>
        <v>0</v>
      </c>
      <c r="BZ39" s="88"/>
      <c r="CA39" s="88">
        <f>AJ10+AJ18+AJ19+AJ20-AJ21</f>
        <v>0</v>
      </c>
      <c r="CB39" s="88"/>
      <c r="CC39" s="88">
        <f>AL10+AL18+AL19+AL20-AL21</f>
        <v>0</v>
      </c>
      <c r="CD39" s="88"/>
      <c r="CE39" s="88">
        <f>AN10+AN18+AN19+AN20-AN21</f>
        <v>0</v>
      </c>
      <c r="CF39" s="88"/>
      <c r="CG39" s="88">
        <f>AP10+AP18+AP19+AP20-AP21</f>
        <v>0</v>
      </c>
      <c r="CH39" s="268"/>
    </row>
    <row r="40" spans="3:86" ht="15" customHeight="1">
      <c r="C40" s="604"/>
      <c r="D40" s="603" t="str">
        <f>D12&amp;" (W2,4)"</f>
        <v>Water supply industry (ISIC 36) (W2,4)</v>
      </c>
      <c r="E40" s="611"/>
      <c r="F40" s="606"/>
      <c r="G40" s="606"/>
      <c r="H40" s="606"/>
      <c r="I40" s="606"/>
      <c r="J40" s="606"/>
      <c r="K40" s="606"/>
      <c r="L40" s="606"/>
      <c r="M40" s="606"/>
      <c r="N40" s="606"/>
      <c r="O40" s="606"/>
      <c r="P40" s="606"/>
      <c r="Q40" s="606"/>
      <c r="R40" s="606"/>
      <c r="S40" s="606"/>
      <c r="T40" s="774" t="str">
        <f>D18&amp;" (W2,10)"</f>
        <v>Desalinated water (W2,10)</v>
      </c>
      <c r="U40" s="775"/>
      <c r="V40" s="776"/>
      <c r="W40" s="606"/>
      <c r="X40" s="606"/>
      <c r="Y40" s="774" t="str">
        <f>LEFT(D22,LEN(D22)-16)&amp;" (W2,14)"</f>
        <v>Total freshwater available for use  (W2,14)</v>
      </c>
      <c r="Z40" s="775"/>
      <c r="AA40" s="775"/>
      <c r="AB40" s="776"/>
      <c r="AC40" s="606"/>
      <c r="AD40" s="606"/>
      <c r="AE40" s="774" t="str">
        <f>LEFT(D24,LEN(D24)-8)&amp;" (W2,16)"</f>
        <v>Total freshwater use  (W2,16)</v>
      </c>
      <c r="AF40" s="775"/>
      <c r="AG40" s="776"/>
      <c r="AH40" s="606"/>
      <c r="AI40" s="606"/>
      <c r="AJ40" s="606"/>
      <c r="AK40" s="612"/>
      <c r="AL40" s="612"/>
      <c r="AM40" s="612"/>
      <c r="AN40" s="612"/>
      <c r="AO40" s="612"/>
      <c r="AP40" s="612"/>
      <c r="AQ40" s="612"/>
      <c r="AR40" s="211"/>
      <c r="AT40" s="314" t="s">
        <v>208</v>
      </c>
      <c r="AU40" s="431" t="s">
        <v>281</v>
      </c>
      <c r="AV40" s="105"/>
      <c r="AW40" s="85" t="str">
        <f>IF(OR(ISBLANK(F10),ISBLANK(F18),ISBLANK(F19),ISBLANK(F20),ISBLANK(F21),ISBLANK(F22)),"N/A",IF((AW38=AW39),"ok","&lt;&gt;"))</f>
        <v>N/A</v>
      </c>
      <c r="AX40" s="85"/>
      <c r="AY40" s="85" t="str">
        <f>IF(OR(ISBLANK(H10),ISBLANK(H18),ISBLANK(H19),ISBLANK(H20),ISBLANK(H21),ISBLANK(H22)),"N/A",IF((AY38=AY39),"ok","&lt;&gt;"))</f>
        <v>N/A</v>
      </c>
      <c r="AZ40" s="85"/>
      <c r="BA40" s="85" t="str">
        <f>IF(OR(ISBLANK(J10),ISBLANK(J18),ISBLANK(J19),ISBLANK(J20),ISBLANK(J21),ISBLANK(J22)),"N/A",IF((BA38=BA39),"ok","&lt;&gt;"))</f>
        <v>N/A</v>
      </c>
      <c r="BB40" s="85"/>
      <c r="BC40" s="85" t="str">
        <f>IF(OR(ISBLANK(L10),ISBLANK(L18),ISBLANK(L19),ISBLANK(L20),ISBLANK(L21),ISBLANK(L22)),"N/A",IF((BC38=BC39),"ok","&lt;&gt;"))</f>
        <v>N/A</v>
      </c>
      <c r="BD40" s="85"/>
      <c r="BE40" s="85" t="str">
        <f>IF(OR(ISBLANK(N10),ISBLANK(N18),ISBLANK(N19),ISBLANK(N20),ISBLANK(N21),ISBLANK(N22)),"N/A",IF((BE38=BE39),"ok","&lt;&gt;"))</f>
        <v>N/A</v>
      </c>
      <c r="BF40" s="85"/>
      <c r="BG40" s="85" t="str">
        <f>IF(OR(ISBLANK(P10),ISBLANK(P18),ISBLANK(P19),ISBLANK(P20),ISBLANK(P21),ISBLANK(P22)),"N/A",IF((BG38=BG39),"ok","&lt;&gt;"))</f>
        <v>N/A</v>
      </c>
      <c r="BH40" s="85"/>
      <c r="BI40" s="85" t="str">
        <f>IF(OR(ISBLANK(R10),ISBLANK(R18),ISBLANK(R19),ISBLANK(R20),ISBLANK(R21),ISBLANK(R22)),"N/A",IF((BI38=BI39),"ok","&lt;&gt;"))</f>
        <v>N/A</v>
      </c>
      <c r="BJ40" s="85"/>
      <c r="BK40" s="85" t="str">
        <f>IF(OR(ISBLANK(T10),ISBLANK(T18),ISBLANK(T19),ISBLANK(T20),ISBLANK(T21),ISBLANK(T22)),"N/A",IF((BK38=BK39),"ok","&lt;&gt;"))</f>
        <v>N/A</v>
      </c>
      <c r="BL40" s="85"/>
      <c r="BM40" s="85" t="str">
        <f>IF(OR(ISBLANK(V10),ISBLANK(V18),ISBLANK(V19),ISBLANK(V20),ISBLANK(V21),ISBLANK(V22)),"N/A",IF((BM38=BM39),"ok","&lt;&gt;"))</f>
        <v>N/A</v>
      </c>
      <c r="BN40" s="85"/>
      <c r="BO40" s="85" t="str">
        <f>IF(OR(ISBLANK(X10),ISBLANK(X18),ISBLANK(X19),ISBLANK(X20),ISBLANK(X21),ISBLANK(X22)),"N/A",IF((BO38=BO39),"ok","&lt;&gt;"))</f>
        <v>N/A</v>
      </c>
      <c r="BP40" s="85"/>
      <c r="BQ40" s="85" t="str">
        <f>IF(OR(ISBLANK(Z10),ISBLANK(Z18),ISBLANK(Z19),ISBLANK(Z20),ISBLANK(Z21),ISBLANK(Z22)),"N/A",IF((BQ38=BQ39),"ok","&lt;&gt;"))</f>
        <v>N/A</v>
      </c>
      <c r="BR40" s="85"/>
      <c r="BS40" s="85" t="str">
        <f>IF(OR(ISBLANK(AB10),ISBLANK(AB18),ISBLANK(AB19),ISBLANK(AB20),ISBLANK(AB21),ISBLANK(AB22)),"N/A",IF((BS38=BS39),"ok","&lt;&gt;"))</f>
        <v>N/A</v>
      </c>
      <c r="BT40" s="85"/>
      <c r="BU40" s="85" t="str">
        <f>IF(OR(ISBLANK(AD10),ISBLANK(AD18),ISBLANK(AD19),ISBLANK(AD20),ISBLANK(AD21),ISBLANK(AD22)),"N/A",IF((BU38=BU39),"ok","&lt;&gt;"))</f>
        <v>N/A</v>
      </c>
      <c r="BV40" s="85"/>
      <c r="BW40" s="85" t="str">
        <f>IF(OR(ISBLANK(AF10),ISBLANK(AF18),ISBLANK(AF19),ISBLANK(AF20),ISBLANK(AF21),ISBLANK(AF22)),"N/A",IF((BW38=BW39),"ok","&lt;&gt;"))</f>
        <v>N/A</v>
      </c>
      <c r="BX40" s="85"/>
      <c r="BY40" s="85" t="str">
        <f>IF(OR(ISBLANK(AH10),ISBLANK(AH18),ISBLANK(AH19),ISBLANK(AH20),ISBLANK(AH21),ISBLANK(AH22)),"N/A",IF((BY38=BY39),"ok","&lt;&gt;"))</f>
        <v>N/A</v>
      </c>
      <c r="BZ40" s="85"/>
      <c r="CA40" s="85" t="str">
        <f>IF(OR(ISBLANK(AJ10),ISBLANK(AJ18),ISBLANK(AJ19),ISBLANK(AJ20),ISBLANK(AJ21),ISBLANK(AJ22)),"N/A",IF((CA38=CA39),"ok","&lt;&gt;"))</f>
        <v>N/A</v>
      </c>
      <c r="CB40" s="85"/>
      <c r="CC40" s="85" t="str">
        <f>IF(OR(ISBLANK(AL10),ISBLANK(AL18),ISBLANK(AL19),ISBLANK(AL20),ISBLANK(AL21),ISBLANK(AL22)),"N/A",IF((CC38=CC39),"ok","&lt;&gt;"))</f>
        <v>N/A</v>
      </c>
      <c r="CD40" s="85"/>
      <c r="CE40" s="85" t="str">
        <f>IF(OR(ISBLANK(AN10),ISBLANK(AN18),ISBLANK(AN19),ISBLANK(AN20),ISBLANK(AN21),ISBLANK(AN22)),"N/A",IF((CE38=CE39),"ok","&lt;&gt;"))</f>
        <v>N/A</v>
      </c>
      <c r="CF40" s="85"/>
      <c r="CG40" s="85" t="str">
        <f>IF(OR(ISBLANK(AP10),ISBLANK(AP18),ISBLANK(AP19),ISBLANK(AP20),ISBLANK(AP21),ISBLANK(AP22)),"N/A",IF((CG38=CG39),"ok","&lt;&gt;"))</f>
        <v>N/A</v>
      </c>
      <c r="CH40" s="272"/>
    </row>
    <row r="41" spans="2:86" ht="19.5" customHeight="1">
      <c r="B41" s="601"/>
      <c r="C41" s="612"/>
      <c r="D41" s="613"/>
      <c r="E41" s="606"/>
      <c r="F41" s="606"/>
      <c r="G41" s="606"/>
      <c r="H41" s="606"/>
      <c r="I41" s="606"/>
      <c r="J41" s="606"/>
      <c r="K41" s="606"/>
      <c r="L41" s="606"/>
      <c r="M41" s="606"/>
      <c r="N41" s="606"/>
      <c r="O41" s="606"/>
      <c r="P41" s="606"/>
      <c r="Q41" s="606"/>
      <c r="R41" s="606"/>
      <c r="S41" s="606"/>
      <c r="T41" s="777"/>
      <c r="U41" s="778"/>
      <c r="V41" s="779"/>
      <c r="W41" s="606"/>
      <c r="X41" s="606"/>
      <c r="Y41" s="777"/>
      <c r="Z41" s="778"/>
      <c r="AA41" s="778"/>
      <c r="AB41" s="779"/>
      <c r="AC41" s="606"/>
      <c r="AD41" s="606"/>
      <c r="AE41" s="777"/>
      <c r="AF41" s="778"/>
      <c r="AG41" s="779"/>
      <c r="AH41" s="606"/>
      <c r="AI41" s="606"/>
      <c r="AJ41" s="606"/>
      <c r="AK41" s="774" t="str">
        <f>D27&amp;" (W2,18)"</f>
        <v>    Agriculture, forestry and fishing (ISIC 01-03) (W2,18)</v>
      </c>
      <c r="AL41" s="775"/>
      <c r="AM41" s="775"/>
      <c r="AN41" s="775"/>
      <c r="AO41" s="775"/>
      <c r="AP41" s="775"/>
      <c r="AQ41" s="776"/>
      <c r="AT41" s="408">
        <v>3</v>
      </c>
      <c r="AU41" s="622" t="s">
        <v>217</v>
      </c>
      <c r="AV41" s="105" t="s">
        <v>372</v>
      </c>
      <c r="AW41" s="85">
        <f>F10</f>
        <v>0</v>
      </c>
      <c r="AX41" s="85"/>
      <c r="AY41" s="85">
        <f>H10</f>
        <v>0</v>
      </c>
      <c r="AZ41" s="85"/>
      <c r="BA41" s="85">
        <f>J10</f>
        <v>0</v>
      </c>
      <c r="BB41" s="85"/>
      <c r="BC41" s="85">
        <f>L10</f>
        <v>0</v>
      </c>
      <c r="BD41" s="85"/>
      <c r="BE41" s="85">
        <f>N10</f>
        <v>0</v>
      </c>
      <c r="BF41" s="85"/>
      <c r="BG41" s="85">
        <f>P10</f>
        <v>0</v>
      </c>
      <c r="BH41" s="85"/>
      <c r="BI41" s="85">
        <f>R10</f>
        <v>0</v>
      </c>
      <c r="BJ41" s="85"/>
      <c r="BK41" s="85">
        <f>T10</f>
        <v>0</v>
      </c>
      <c r="BL41" s="85"/>
      <c r="BM41" s="85">
        <f>V10</f>
        <v>0</v>
      </c>
      <c r="BN41" s="85"/>
      <c r="BO41" s="85">
        <f>X10</f>
        <v>0</v>
      </c>
      <c r="BP41" s="85"/>
      <c r="BQ41" s="85">
        <f>Z10</f>
        <v>0</v>
      </c>
      <c r="BR41" s="85"/>
      <c r="BS41" s="85">
        <f>AB10</f>
        <v>0</v>
      </c>
      <c r="BT41" s="85"/>
      <c r="BU41" s="85">
        <f>AD10</f>
        <v>0</v>
      </c>
      <c r="BV41" s="85"/>
      <c r="BW41" s="85">
        <f>AF10</f>
        <v>0</v>
      </c>
      <c r="BX41" s="85"/>
      <c r="BY41" s="85">
        <f>AH10</f>
        <v>0</v>
      </c>
      <c r="BZ41" s="85"/>
      <c r="CA41" s="85">
        <f>AJ10</f>
        <v>0</v>
      </c>
      <c r="CB41" s="85"/>
      <c r="CC41" s="85">
        <f>AL10</f>
        <v>0</v>
      </c>
      <c r="CD41" s="85"/>
      <c r="CE41" s="85">
        <f>AN10</f>
        <v>0</v>
      </c>
      <c r="CF41" s="85"/>
      <c r="CG41" s="85">
        <f>AP10</f>
        <v>0</v>
      </c>
      <c r="CH41" s="268"/>
    </row>
    <row r="42" spans="3:86" ht="15" customHeight="1">
      <c r="C42" s="612"/>
      <c r="D42" s="603" t="str">
        <f>D13&amp;" (W2,5)"</f>
        <v>Households  (W2,5)</v>
      </c>
      <c r="E42" s="606"/>
      <c r="F42" s="606"/>
      <c r="G42" s="606"/>
      <c r="H42" s="606"/>
      <c r="I42" s="606"/>
      <c r="J42" s="606"/>
      <c r="K42" s="606"/>
      <c r="L42" s="606"/>
      <c r="M42" s="606"/>
      <c r="N42" s="606"/>
      <c r="O42" s="606"/>
      <c r="P42" s="606"/>
      <c r="Q42" s="606"/>
      <c r="R42" s="606"/>
      <c r="S42" s="606"/>
      <c r="T42" s="780"/>
      <c r="U42" s="781"/>
      <c r="V42" s="782"/>
      <c r="W42" s="610"/>
      <c r="X42" s="606"/>
      <c r="Y42" s="777"/>
      <c r="Z42" s="778"/>
      <c r="AA42" s="778"/>
      <c r="AB42" s="779"/>
      <c r="AC42" s="606"/>
      <c r="AD42" s="606"/>
      <c r="AE42" s="777"/>
      <c r="AF42" s="778"/>
      <c r="AG42" s="779"/>
      <c r="AH42" s="791" t="s">
        <v>631</v>
      </c>
      <c r="AI42" s="792"/>
      <c r="AJ42" s="606"/>
      <c r="AK42" s="780"/>
      <c r="AL42" s="781"/>
      <c r="AM42" s="781"/>
      <c r="AN42" s="781"/>
      <c r="AO42" s="781"/>
      <c r="AP42" s="781"/>
      <c r="AQ42" s="782"/>
      <c r="AT42" s="329">
        <v>25</v>
      </c>
      <c r="AU42" s="431" t="s">
        <v>91</v>
      </c>
      <c r="AV42" s="105" t="s">
        <v>372</v>
      </c>
      <c r="AW42" s="88">
        <f>SUM(F12:F17)</f>
        <v>0</v>
      </c>
      <c r="AX42" s="88"/>
      <c r="AY42" s="88">
        <f>SUM(H12:H17)</f>
        <v>0</v>
      </c>
      <c r="AZ42" s="88"/>
      <c r="BA42" s="88">
        <f>SUM(J12:J17)</f>
        <v>0</v>
      </c>
      <c r="BB42" s="88"/>
      <c r="BC42" s="88">
        <f>SUM(L12:L17)</f>
        <v>0</v>
      </c>
      <c r="BD42" s="88"/>
      <c r="BE42" s="88">
        <f>SUM(N12:N17)</f>
        <v>0</v>
      </c>
      <c r="BF42" s="88"/>
      <c r="BG42" s="88">
        <f>SUM(P12:P17)</f>
        <v>0</v>
      </c>
      <c r="BH42" s="88"/>
      <c r="BI42" s="88">
        <f>SUM(R12:R17)</f>
        <v>0</v>
      </c>
      <c r="BJ42" s="88"/>
      <c r="BK42" s="88">
        <f>SUM(T12:T17)</f>
        <v>0</v>
      </c>
      <c r="BL42" s="88"/>
      <c r="BM42" s="88">
        <f>SUM(V12:V17)</f>
        <v>0</v>
      </c>
      <c r="BN42" s="88"/>
      <c r="BO42" s="88">
        <f>SUM(X12:X17)</f>
        <v>0</v>
      </c>
      <c r="BP42" s="88"/>
      <c r="BQ42" s="88">
        <f>SUM(Z12:Z17)</f>
        <v>0</v>
      </c>
      <c r="BR42" s="88"/>
      <c r="BS42" s="88">
        <f>SUM(AB12:AB17)</f>
        <v>0</v>
      </c>
      <c r="BT42" s="88"/>
      <c r="BU42" s="88">
        <f>SUM(AD12:AD17)</f>
        <v>0</v>
      </c>
      <c r="BV42" s="88"/>
      <c r="BW42" s="88">
        <f>SUM(AF12:AF17)</f>
        <v>0</v>
      </c>
      <c r="BX42" s="88"/>
      <c r="BY42" s="88">
        <f>SUM(AH12:AH17)</f>
        <v>0</v>
      </c>
      <c r="BZ42" s="88"/>
      <c r="CA42" s="88">
        <f>SUM(AJ12:AJ17)</f>
        <v>0</v>
      </c>
      <c r="CB42" s="88"/>
      <c r="CC42" s="88">
        <f>SUM(AL12:AL17)</f>
        <v>0</v>
      </c>
      <c r="CD42" s="88"/>
      <c r="CE42" s="88">
        <f>SUM(AN12:AN17)</f>
        <v>0</v>
      </c>
      <c r="CF42" s="88"/>
      <c r="CG42" s="88">
        <f>SUM(AP12:AP17)</f>
        <v>0</v>
      </c>
      <c r="CH42" s="272"/>
    </row>
    <row r="43" spans="3:86" ht="15" customHeight="1">
      <c r="C43" s="612"/>
      <c r="D43" s="614"/>
      <c r="E43" s="606"/>
      <c r="F43" s="606"/>
      <c r="G43" s="606"/>
      <c r="H43" s="606"/>
      <c r="I43" s="606"/>
      <c r="J43" s="606"/>
      <c r="K43" s="606"/>
      <c r="L43" s="606"/>
      <c r="M43" s="606"/>
      <c r="N43" s="606"/>
      <c r="O43" s="606"/>
      <c r="P43" s="606"/>
      <c r="Q43" s="606"/>
      <c r="R43" s="606"/>
      <c r="S43" s="606"/>
      <c r="T43" s="606"/>
      <c r="U43" s="606"/>
      <c r="V43" s="606"/>
      <c r="W43" s="606"/>
      <c r="X43" s="606"/>
      <c r="Y43" s="777"/>
      <c r="Z43" s="778"/>
      <c r="AA43" s="778"/>
      <c r="AB43" s="779"/>
      <c r="AC43" s="606"/>
      <c r="AD43" s="615"/>
      <c r="AE43" s="777"/>
      <c r="AF43" s="778"/>
      <c r="AG43" s="779"/>
      <c r="AH43" s="777"/>
      <c r="AI43" s="792"/>
      <c r="AJ43" s="606"/>
      <c r="AK43" s="606"/>
      <c r="AL43" s="606"/>
      <c r="AM43" s="606"/>
      <c r="AN43" s="606"/>
      <c r="AO43" s="606"/>
      <c r="AP43" s="606"/>
      <c r="AQ43" s="606"/>
      <c r="AT43" s="314" t="s">
        <v>208</v>
      </c>
      <c r="AU43" s="431" t="s">
        <v>55</v>
      </c>
      <c r="AV43" s="105"/>
      <c r="AW43" s="85" t="str">
        <f>IF(OR(ISBLANK(F10),ISBLANK(F12),ISBLANK(F13),ISBLANK(F14),ISBLANK(F15),ISBLANK(F16),ISBLANK(F17)),"N/A",IF(AW41=AW42,"ok","&lt;&gt;"))</f>
        <v>N/A</v>
      </c>
      <c r="AX43" s="85"/>
      <c r="AY43" s="85" t="str">
        <f>IF(OR(ISBLANK(H10),ISBLANK(H12),ISBLANK(H13),ISBLANK(H14),ISBLANK(H15),ISBLANK(H16),ISBLANK(H17)),"N/A",IF(AY41=AY42,"ok","&lt;&gt;"))</f>
        <v>N/A</v>
      </c>
      <c r="AZ43" s="85"/>
      <c r="BA43" s="85" t="str">
        <f>IF(OR(ISBLANK(J10),ISBLANK(J12),ISBLANK(J13),ISBLANK(J14),ISBLANK(J15),ISBLANK(J16),ISBLANK(J17)),"N/A",IF(BA41=BA42,"ok","&lt;&gt;"))</f>
        <v>N/A</v>
      </c>
      <c r="BB43" s="85"/>
      <c r="BC43" s="85" t="str">
        <f>IF(OR(ISBLANK(L10),ISBLANK(L12),ISBLANK(L13),ISBLANK(L14),ISBLANK(L15),ISBLANK(L16),ISBLANK(L17)),"N/A",IF(BC41=BC42,"ok","&lt;&gt;"))</f>
        <v>N/A</v>
      </c>
      <c r="BD43" s="85"/>
      <c r="BE43" s="85" t="str">
        <f>IF(OR(ISBLANK(N10),ISBLANK(N12),ISBLANK(N13),ISBLANK(N14),ISBLANK(N15),ISBLANK(N16),ISBLANK(N17)),"N/A",IF(BE41=BE42,"ok","&lt;&gt;"))</f>
        <v>N/A</v>
      </c>
      <c r="BF43" s="85"/>
      <c r="BG43" s="85" t="str">
        <f>IF(OR(ISBLANK(P10),ISBLANK(P12),ISBLANK(P13),ISBLANK(P14),ISBLANK(P15),ISBLANK(P16),ISBLANK(P17)),"N/A",IF(BG41=BG42,"ok","&lt;&gt;"))</f>
        <v>N/A</v>
      </c>
      <c r="BH43" s="85"/>
      <c r="BI43" s="85" t="str">
        <f>IF(OR(ISBLANK(R10),ISBLANK(R12),ISBLANK(R13),ISBLANK(R14),ISBLANK(R15),ISBLANK(R16),ISBLANK(R17)),"N/A",IF(BI41=BI42,"ok","&lt;&gt;"))</f>
        <v>N/A</v>
      </c>
      <c r="BJ43" s="85"/>
      <c r="BK43" s="85" t="str">
        <f>IF(OR(ISBLANK(T10),ISBLANK(T12),ISBLANK(T13),ISBLANK(T14),ISBLANK(T15),ISBLANK(T16),ISBLANK(T17)),"N/A",IF(BK41=BK42,"ok","&lt;&gt;"))</f>
        <v>N/A</v>
      </c>
      <c r="BL43" s="85"/>
      <c r="BM43" s="85" t="str">
        <f>IF(OR(ISBLANK(V10),ISBLANK(V12),ISBLANK(V13),ISBLANK(V14),ISBLANK(V15),ISBLANK(V16),ISBLANK(V17)),"N/A",IF(BM41=BM42,"ok","&lt;&gt;"))</f>
        <v>N/A</v>
      </c>
      <c r="BN43" s="85"/>
      <c r="BO43" s="85" t="str">
        <f>IF(OR(ISBLANK(X10),ISBLANK(X12),ISBLANK(X13),ISBLANK(X14),ISBLANK(X15),ISBLANK(X16),ISBLANK(X17)),"N/A",IF(BO41=BO42,"ok","&lt;&gt;"))</f>
        <v>N/A</v>
      </c>
      <c r="BP43" s="85"/>
      <c r="BQ43" s="85" t="str">
        <f>IF(OR(ISBLANK(Z10),ISBLANK(Z12),ISBLANK(Z13),ISBLANK(Z14),ISBLANK(Z15),ISBLANK(Z16),ISBLANK(Z17)),"N/A",IF(BQ41=BQ42,"ok","&lt;&gt;"))</f>
        <v>N/A</v>
      </c>
      <c r="BR43" s="85"/>
      <c r="BS43" s="85" t="str">
        <f>IF(OR(ISBLANK(AB10),ISBLANK(AB12),ISBLANK(AB13),ISBLANK(AB14),ISBLANK(AB15),ISBLANK(AB16),ISBLANK(AB17)),"N/A",IF(BS41=BS42,"ok","&lt;&gt;"))</f>
        <v>N/A</v>
      </c>
      <c r="BT43" s="85"/>
      <c r="BU43" s="85" t="str">
        <f>IF(OR(ISBLANK(AD10),ISBLANK(AD12),ISBLANK(AD13),ISBLANK(AD14),ISBLANK(AD15),ISBLANK(AD16),ISBLANK(AD17)),"N/A",IF(BU41=BU42,"ok","&lt;&gt;"))</f>
        <v>N/A</v>
      </c>
      <c r="BV43" s="85"/>
      <c r="BW43" s="85" t="str">
        <f>IF(OR(ISBLANK(AF10),ISBLANK(AF12),ISBLANK(AF13),ISBLANK(AF14),ISBLANK(AF15),ISBLANK(AF16),ISBLANK(AF17)),"N/A",IF(BW41=BW42,"ok","&lt;&gt;"))</f>
        <v>N/A</v>
      </c>
      <c r="BX43" s="85"/>
      <c r="BY43" s="85" t="str">
        <f>IF(OR(ISBLANK(AH10),ISBLANK(AH12),ISBLANK(AH13),ISBLANK(AH14),ISBLANK(AH15),ISBLANK(AH16),ISBLANK(AH17)),"N/A",IF(BY41=BY42,"ok","&lt;&gt;"))</f>
        <v>N/A</v>
      </c>
      <c r="BZ43" s="85"/>
      <c r="CA43" s="85" t="str">
        <f>IF(OR(ISBLANK(AJ10),ISBLANK(AJ12),ISBLANK(AJ13),ISBLANK(AJ14),ISBLANK(AJ15),ISBLANK(AJ16),ISBLANK(AJ17)),"N/A",IF(CA41=CA42,"ok","&lt;&gt;"))</f>
        <v>N/A</v>
      </c>
      <c r="CB43" s="85"/>
      <c r="CC43" s="85" t="str">
        <f>IF(OR(ISBLANK(AL10),ISBLANK(AL12),ISBLANK(AL13),ISBLANK(AL14),ISBLANK(AL15),ISBLANK(AL16),ISBLANK(AL17)),"N/A",IF(CC41=CC42,"ok","&lt;&gt;"))</f>
        <v>N/A</v>
      </c>
      <c r="CD43" s="85"/>
      <c r="CE43" s="85" t="str">
        <f>IF(OR(ISBLANK(AN10),ISBLANK(AN12),ISBLANK(AN13),ISBLANK(AN14),ISBLANK(AN15),ISBLANK(AN16),ISBLANK(AN17)),"N/A",IF(CE41=CE42,"ok","&lt;&gt;"))</f>
        <v>N/A</v>
      </c>
      <c r="CF43" s="85"/>
      <c r="CG43" s="85" t="str">
        <f>IF(OR(ISBLANK(AP10),ISBLANK(AP12),ISBLANK(AP13),ISBLANK(AP14),ISBLANK(AP15),ISBLANK(AP16),ISBLANK(AP17)),"N/A",IF(CG41=CG42,"ok","&lt;&gt;"))</f>
        <v>N/A</v>
      </c>
      <c r="CH43" s="268"/>
    </row>
    <row r="44" spans="3:86" ht="20.25" customHeight="1">
      <c r="C44" s="612"/>
      <c r="D44" s="603" t="str">
        <f>D14&amp;" (W2,6)"</f>
        <v>Agriculture, forestry and fishing (ISIC 01-03) (W2,6)</v>
      </c>
      <c r="E44" s="606"/>
      <c r="F44" s="606"/>
      <c r="G44" s="606"/>
      <c r="H44" s="606"/>
      <c r="I44" s="606"/>
      <c r="J44" s="606"/>
      <c r="K44" s="606"/>
      <c r="L44" s="606"/>
      <c r="M44" s="606"/>
      <c r="N44" s="606"/>
      <c r="O44" s="606"/>
      <c r="P44" s="606"/>
      <c r="Q44" s="606"/>
      <c r="R44" s="606"/>
      <c r="S44" s="606"/>
      <c r="T44" s="783" t="str">
        <f>D19&amp;" (W2,11)"</f>
        <v>Reused water (W2,11)</v>
      </c>
      <c r="U44" s="784"/>
      <c r="V44" s="795"/>
      <c r="W44" s="610"/>
      <c r="X44" s="606"/>
      <c r="Y44" s="777"/>
      <c r="Z44" s="778"/>
      <c r="AA44" s="778"/>
      <c r="AB44" s="779"/>
      <c r="AC44" s="606"/>
      <c r="AD44" s="615"/>
      <c r="AE44" s="777"/>
      <c r="AF44" s="778"/>
      <c r="AG44" s="779"/>
      <c r="AH44" s="616"/>
      <c r="AI44" s="617"/>
      <c r="AJ44" s="606"/>
      <c r="AK44" s="783" t="str">
        <f>D29&amp;" (W2,20)"</f>
        <v>    Manufacturing (ISIC 10-33) (W2,20)</v>
      </c>
      <c r="AL44" s="784"/>
      <c r="AM44" s="784"/>
      <c r="AN44" s="784"/>
      <c r="AO44" s="784"/>
      <c r="AP44" s="784"/>
      <c r="AQ44" s="785"/>
      <c r="AT44" s="408">
        <v>16</v>
      </c>
      <c r="AU44" s="622" t="s">
        <v>549</v>
      </c>
      <c r="AV44" s="105" t="s">
        <v>372</v>
      </c>
      <c r="AW44" s="88">
        <f>F24</f>
        <v>0</v>
      </c>
      <c r="AX44" s="88"/>
      <c r="AY44" s="88">
        <f>H24</f>
        <v>0</v>
      </c>
      <c r="AZ44" s="88"/>
      <c r="BA44" s="88">
        <f>J24</f>
        <v>0</v>
      </c>
      <c r="BB44" s="88"/>
      <c r="BC44" s="88">
        <f>L24</f>
        <v>0</v>
      </c>
      <c r="BD44" s="88"/>
      <c r="BE44" s="88">
        <f>N24</f>
        <v>0</v>
      </c>
      <c r="BF44" s="88"/>
      <c r="BG44" s="88">
        <f>P24</f>
        <v>0</v>
      </c>
      <c r="BH44" s="88"/>
      <c r="BI44" s="88">
        <f>R24</f>
        <v>0</v>
      </c>
      <c r="BJ44" s="88"/>
      <c r="BK44" s="88">
        <f>T24</f>
        <v>0</v>
      </c>
      <c r="BL44" s="88"/>
      <c r="BM44" s="88">
        <f>V24</f>
        <v>0</v>
      </c>
      <c r="BN44" s="88"/>
      <c r="BO44" s="88">
        <f>X24</f>
        <v>0</v>
      </c>
      <c r="BP44" s="88"/>
      <c r="BQ44" s="88">
        <f>Z24</f>
        <v>0</v>
      </c>
      <c r="BR44" s="88"/>
      <c r="BS44" s="88">
        <f>AB24</f>
        <v>0</v>
      </c>
      <c r="BT44" s="88"/>
      <c r="BU44" s="88">
        <f>AD24</f>
        <v>0</v>
      </c>
      <c r="BV44" s="88"/>
      <c r="BW44" s="88">
        <f>AF24</f>
        <v>0</v>
      </c>
      <c r="BX44" s="88"/>
      <c r="BY44" s="88">
        <f>AH24</f>
        <v>0</v>
      </c>
      <c r="BZ44" s="88"/>
      <c r="CA44" s="88">
        <f>AJ24</f>
        <v>0</v>
      </c>
      <c r="CB44" s="88"/>
      <c r="CC44" s="88">
        <f>AL24</f>
        <v>0</v>
      </c>
      <c r="CD44" s="88"/>
      <c r="CE44" s="88">
        <f>AN24</f>
        <v>0</v>
      </c>
      <c r="CF44" s="88"/>
      <c r="CG44" s="88">
        <f>AP24</f>
        <v>0</v>
      </c>
      <c r="CH44" s="272"/>
    </row>
    <row r="45" spans="3:86" ht="10.5" customHeight="1">
      <c r="C45" s="612"/>
      <c r="D45" s="618"/>
      <c r="E45" s="606"/>
      <c r="F45" s="606"/>
      <c r="G45" s="606"/>
      <c r="H45" s="606"/>
      <c r="I45" s="606"/>
      <c r="J45" s="606"/>
      <c r="K45" s="606"/>
      <c r="L45" s="606"/>
      <c r="M45" s="606"/>
      <c r="N45" s="606"/>
      <c r="O45" s="606"/>
      <c r="P45" s="606"/>
      <c r="Q45" s="606"/>
      <c r="R45" s="606"/>
      <c r="S45" s="606"/>
      <c r="T45" s="606"/>
      <c r="U45" s="606"/>
      <c r="V45" s="606"/>
      <c r="W45" s="606"/>
      <c r="X45" s="606"/>
      <c r="Y45" s="780"/>
      <c r="Z45" s="781"/>
      <c r="AA45" s="781"/>
      <c r="AB45" s="782"/>
      <c r="AC45" s="606"/>
      <c r="AD45" s="606"/>
      <c r="AE45" s="780"/>
      <c r="AF45" s="781"/>
      <c r="AG45" s="782"/>
      <c r="AH45" s="606"/>
      <c r="AI45" s="606"/>
      <c r="AJ45" s="606"/>
      <c r="AK45" s="606"/>
      <c r="AL45" s="606"/>
      <c r="AM45" s="606"/>
      <c r="AN45" s="606"/>
      <c r="AO45" s="606"/>
      <c r="AP45" s="606"/>
      <c r="AQ45" s="606"/>
      <c r="AS45" s="348"/>
      <c r="AT45" s="329">
        <v>26</v>
      </c>
      <c r="AU45" s="431" t="s">
        <v>92</v>
      </c>
      <c r="AV45" s="105" t="s">
        <v>372</v>
      </c>
      <c r="AW45" s="85">
        <f>F22-F23</f>
        <v>0</v>
      </c>
      <c r="AX45" s="85"/>
      <c r="AY45" s="85">
        <f>H22-H23</f>
        <v>0</v>
      </c>
      <c r="AZ45" s="85"/>
      <c r="BA45" s="85">
        <f>J22-J23</f>
        <v>0</v>
      </c>
      <c r="BB45" s="85"/>
      <c r="BC45" s="85">
        <f>L22-L23</f>
        <v>0</v>
      </c>
      <c r="BD45" s="85"/>
      <c r="BE45" s="85">
        <f>N22-N23</f>
        <v>0</v>
      </c>
      <c r="BF45" s="85"/>
      <c r="BG45" s="85">
        <f>P22-P23</f>
        <v>0</v>
      </c>
      <c r="BH45" s="85"/>
      <c r="BI45" s="85">
        <f>R22-R23</f>
        <v>0</v>
      </c>
      <c r="BJ45" s="85"/>
      <c r="BK45" s="85">
        <f>T22-T23</f>
        <v>0</v>
      </c>
      <c r="BL45" s="85"/>
      <c r="BM45" s="85">
        <f>V22-V23</f>
        <v>0</v>
      </c>
      <c r="BN45" s="85"/>
      <c r="BO45" s="85">
        <f>X22-X23</f>
        <v>0</v>
      </c>
      <c r="BP45" s="85"/>
      <c r="BQ45" s="85">
        <f>Z22-Z23</f>
        <v>0</v>
      </c>
      <c r="BR45" s="85"/>
      <c r="BS45" s="85">
        <f>AB22-AB23</f>
        <v>0</v>
      </c>
      <c r="BT45" s="85"/>
      <c r="BU45" s="85">
        <f>AD22-AD23</f>
        <v>0</v>
      </c>
      <c r="BV45" s="85"/>
      <c r="BW45" s="85">
        <f>AF22-AF23</f>
        <v>0</v>
      </c>
      <c r="BX45" s="85"/>
      <c r="BY45" s="85">
        <f>AH22-AH23</f>
        <v>0</v>
      </c>
      <c r="BZ45" s="85"/>
      <c r="CA45" s="85">
        <f>AJ22-AJ23</f>
        <v>0</v>
      </c>
      <c r="CB45" s="85"/>
      <c r="CC45" s="85">
        <f>AL22-AL23</f>
        <v>0</v>
      </c>
      <c r="CD45" s="85"/>
      <c r="CE45" s="85">
        <f>AN22-AN23</f>
        <v>0</v>
      </c>
      <c r="CF45" s="85"/>
      <c r="CG45" s="85">
        <f>AP22-AP23</f>
        <v>0</v>
      </c>
      <c r="CH45" s="268"/>
    </row>
    <row r="46" spans="3:86" ht="26.25" customHeight="1">
      <c r="C46" s="612"/>
      <c r="D46" s="603" t="str">
        <f>D15&amp;" (W2,7)"</f>
        <v>Manufacturing (ISIC 10-33) (W2,7)</v>
      </c>
      <c r="E46" s="606"/>
      <c r="F46" s="606"/>
      <c r="G46" s="606"/>
      <c r="H46" s="606"/>
      <c r="I46" s="606"/>
      <c r="J46" s="606"/>
      <c r="K46" s="606"/>
      <c r="L46" s="606"/>
      <c r="M46" s="606"/>
      <c r="N46" s="606"/>
      <c r="O46" s="606"/>
      <c r="P46" s="606"/>
      <c r="Q46" s="606"/>
      <c r="R46" s="610"/>
      <c r="S46" s="317"/>
      <c r="T46" s="774" t="str">
        <f>D20&amp;"-"&amp;D21&amp;"  =(W2,12)-(W2,13)"</f>
        <v>Imports of water-Exports of water  =(W2,12)-(W2,13)</v>
      </c>
      <c r="U46" s="798"/>
      <c r="V46" s="799"/>
      <c r="W46" s="610"/>
      <c r="X46" s="609"/>
      <c r="Y46" s="609"/>
      <c r="Z46" s="609"/>
      <c r="AA46" s="606"/>
      <c r="AB46" s="606"/>
      <c r="AC46" s="606"/>
      <c r="AD46" s="606"/>
      <c r="AE46" s="606"/>
      <c r="AF46" s="606"/>
      <c r="AG46" s="606"/>
      <c r="AH46" s="606"/>
      <c r="AI46" s="606"/>
      <c r="AJ46" s="606"/>
      <c r="AK46" s="783" t="str">
        <f>D30&amp;" (W2,21)"</f>
        <v>    Electricity industry (ISIC 351) (W2,21)</v>
      </c>
      <c r="AL46" s="784"/>
      <c r="AM46" s="784"/>
      <c r="AN46" s="784"/>
      <c r="AO46" s="784"/>
      <c r="AP46" s="784"/>
      <c r="AQ46" s="785"/>
      <c r="AS46" s="348"/>
      <c r="AT46" s="343" t="s">
        <v>208</v>
      </c>
      <c r="AU46" s="446" t="s">
        <v>56</v>
      </c>
      <c r="AV46" s="447"/>
      <c r="AW46" s="86" t="str">
        <f>IF(OR(ISBLANK(F22),ISBLANK(F23),ISBLANK(F24)),"N/A",IF(AW44=AW45,"ok","&lt;&gt;"))</f>
        <v>N/A</v>
      </c>
      <c r="AX46" s="86"/>
      <c r="AY46" s="86" t="str">
        <f>IF(OR(ISBLANK(H22),ISBLANK(H23),ISBLANK(H24)),"N/A",IF(AY44=AY45,"ok","&lt;&gt;"))</f>
        <v>N/A</v>
      </c>
      <c r="AZ46" s="86"/>
      <c r="BA46" s="86" t="str">
        <f>IF(OR(ISBLANK(J22),ISBLANK(J23),ISBLANK(J24)),"N/A",IF(BA44=BA45,"ok","&lt;&gt;"))</f>
        <v>N/A</v>
      </c>
      <c r="BB46" s="86"/>
      <c r="BC46" s="86" t="str">
        <f>IF(OR(ISBLANK(L22),ISBLANK(L23),ISBLANK(L24)),"N/A",IF(BC44=BC45,"ok","&lt;&gt;"))</f>
        <v>N/A</v>
      </c>
      <c r="BD46" s="86"/>
      <c r="BE46" s="86" t="str">
        <f>IF(OR(ISBLANK(N22),ISBLANK(N23),ISBLANK(N24)),"N/A",IF(BE44=BE45,"ok","&lt;&gt;"))</f>
        <v>N/A</v>
      </c>
      <c r="BF46" s="86"/>
      <c r="BG46" s="86" t="str">
        <f>IF(OR(ISBLANK(P22),ISBLANK(P23),ISBLANK(P24)),"N/A",IF(BG44=BG45,"ok","&lt;&gt;"))</f>
        <v>N/A</v>
      </c>
      <c r="BH46" s="86"/>
      <c r="BI46" s="86" t="str">
        <f>IF(OR(ISBLANK(R22),ISBLANK(R23),ISBLANK(R24)),"N/A",IF(BI44=BI45,"ok","&lt;&gt;"))</f>
        <v>N/A</v>
      </c>
      <c r="BJ46" s="86"/>
      <c r="BK46" s="86" t="str">
        <f>IF(OR(ISBLANK(T22),ISBLANK(T23),ISBLANK(T24)),"N/A",IF(BK44=BK45,"ok","&lt;&gt;"))</f>
        <v>N/A</v>
      </c>
      <c r="BL46" s="86"/>
      <c r="BM46" s="86" t="str">
        <f>IF(OR(ISBLANK(V22),ISBLANK(V23),ISBLANK(V24)),"N/A",IF(BM44=BM45,"ok","&lt;&gt;"))</f>
        <v>N/A</v>
      </c>
      <c r="BN46" s="86"/>
      <c r="BO46" s="86" t="str">
        <f>IF(OR(ISBLANK(X22),ISBLANK(X23),ISBLANK(X24)),"N/A",IF(BO44=BO45,"ok","&lt;&gt;"))</f>
        <v>N/A</v>
      </c>
      <c r="BP46" s="86"/>
      <c r="BQ46" s="86" t="str">
        <f>IF(OR(ISBLANK(Z22),ISBLANK(Z23),ISBLANK(Z24)),"N/A",IF(BQ44=BQ45,"ok","&lt;&gt;"))</f>
        <v>N/A</v>
      </c>
      <c r="BR46" s="86"/>
      <c r="BS46" s="86" t="str">
        <f>IF(OR(ISBLANK(AB22),ISBLANK(AB23),ISBLANK(AB24)),"N/A",IF(BS44=BS45,"ok","&lt;&gt;"))</f>
        <v>N/A</v>
      </c>
      <c r="BT46" s="86"/>
      <c r="BU46" s="86" t="str">
        <f>IF(OR(ISBLANK(AD22),ISBLANK(AD23),ISBLANK(AD24)),"N/A",IF(BU44=BU45,"ok","&lt;&gt;"))</f>
        <v>N/A</v>
      </c>
      <c r="BV46" s="86"/>
      <c r="BW46" s="86" t="str">
        <f>IF(OR(ISBLANK(AF22),ISBLANK(AF23),ISBLANK(AF24)),"N/A",IF(BW44=BW45,"ok","&lt;&gt;"))</f>
        <v>N/A</v>
      </c>
      <c r="BX46" s="86"/>
      <c r="BY46" s="86" t="str">
        <f>IF(OR(ISBLANK(AH22),ISBLANK(AH23),ISBLANK(AH24)),"N/A",IF(BY44=BY45,"ok","&lt;&gt;"))</f>
        <v>N/A</v>
      </c>
      <c r="BZ46" s="86"/>
      <c r="CA46" s="86" t="str">
        <f>IF(OR(ISBLANK(AJ22),ISBLANK(AJ23),ISBLANK(AJ24)),"N/A",IF(CA44=CA45,"ok","&lt;&gt;"))</f>
        <v>N/A</v>
      </c>
      <c r="CB46" s="86"/>
      <c r="CC46" s="86" t="str">
        <f>IF(OR(ISBLANK(AL22),ISBLANK(AL23),ISBLANK(AL24)),"N/A",IF(CC44=CC45,"ok","&lt;&gt;"))</f>
        <v>N/A</v>
      </c>
      <c r="CD46" s="86"/>
      <c r="CE46" s="86" t="str">
        <f>IF(OR(ISBLANK(AN22),ISBLANK(AN23),ISBLANK(AN24)),"N/A",IF(CE44=CE45,"ok","&lt;&gt;"))</f>
        <v>N/A</v>
      </c>
      <c r="CF46" s="86"/>
      <c r="CG46" s="86" t="str">
        <f>IF(OR(ISBLANK(AP22),ISBLANK(AP23),ISBLANK(AP24)),"N/A",IF(CG44=CG45,"ok","&lt;&gt;"))</f>
        <v>N/A</v>
      </c>
      <c r="CH46" s="298"/>
    </row>
    <row r="47" spans="3:87" ht="12" customHeight="1">
      <c r="C47" s="612"/>
      <c r="D47" s="618"/>
      <c r="E47" s="606"/>
      <c r="F47" s="606"/>
      <c r="G47" s="606"/>
      <c r="H47" s="606"/>
      <c r="I47" s="606"/>
      <c r="J47" s="606"/>
      <c r="K47" s="606"/>
      <c r="L47" s="606"/>
      <c r="M47" s="606"/>
      <c r="N47" s="606"/>
      <c r="O47" s="606"/>
      <c r="P47" s="606"/>
      <c r="Q47" s="606"/>
      <c r="R47" s="610"/>
      <c r="S47" s="317"/>
      <c r="T47" s="800"/>
      <c r="U47" s="801"/>
      <c r="V47" s="802"/>
      <c r="W47" s="619"/>
      <c r="X47" s="619"/>
      <c r="Y47" s="619"/>
      <c r="Z47" s="619"/>
      <c r="AA47" s="620"/>
      <c r="AB47" s="621"/>
      <c r="AC47" s="606"/>
      <c r="AD47" s="606"/>
      <c r="AE47" s="606"/>
      <c r="AF47" s="606"/>
      <c r="AG47" s="606"/>
      <c r="AH47" s="606"/>
      <c r="AI47" s="606"/>
      <c r="AJ47" s="606"/>
      <c r="AK47" s="606"/>
      <c r="AL47" s="606"/>
      <c r="AM47" s="606"/>
      <c r="AN47" s="606"/>
      <c r="AO47" s="606"/>
      <c r="AP47" s="606"/>
      <c r="AQ47" s="606"/>
      <c r="AT47" s="345" t="s">
        <v>68</v>
      </c>
      <c r="AU47" s="346" t="s">
        <v>69</v>
      </c>
      <c r="AV47" s="104"/>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448"/>
      <c r="CI47" s="338"/>
    </row>
    <row r="48" spans="3:87" ht="20.25" customHeight="1">
      <c r="C48" s="612"/>
      <c r="D48" s="603" t="str">
        <f>D16&amp;" (W2,8)"</f>
        <v>Electricity industry (ISIC 351) (W2,8)</v>
      </c>
      <c r="E48" s="606"/>
      <c r="F48" s="606"/>
      <c r="G48" s="606"/>
      <c r="H48" s="606"/>
      <c r="I48" s="606"/>
      <c r="J48" s="606"/>
      <c r="K48" s="606"/>
      <c r="L48" s="606"/>
      <c r="M48" s="606"/>
      <c r="N48" s="606"/>
      <c r="O48" s="606"/>
      <c r="P48" s="606"/>
      <c r="Q48" s="606"/>
      <c r="R48" s="610"/>
      <c r="S48" s="317"/>
      <c r="T48" s="800"/>
      <c r="U48" s="801"/>
      <c r="V48" s="802"/>
      <c r="W48" s="610"/>
      <c r="X48" s="606"/>
      <c r="Y48" s="606"/>
      <c r="Z48" s="606"/>
      <c r="AA48" s="606"/>
      <c r="AB48" s="774" t="str">
        <f>D23&amp;" (W2,15)"</f>
        <v>Losses during transport (W2,15)</v>
      </c>
      <c r="AC48" s="786"/>
      <c r="AD48" s="786"/>
      <c r="AE48" s="786"/>
      <c r="AF48" s="787"/>
      <c r="AG48" s="606"/>
      <c r="AH48" s="606"/>
      <c r="AI48" s="606"/>
      <c r="AJ48" s="606"/>
      <c r="AK48" s="783" t="str">
        <f>D31&amp;" (W2,22)"</f>
        <v>    Other economic activities (W2,22)</v>
      </c>
      <c r="AL48" s="784"/>
      <c r="AM48" s="784"/>
      <c r="AN48" s="784"/>
      <c r="AO48" s="784"/>
      <c r="AP48" s="784"/>
      <c r="AQ48" s="785"/>
      <c r="AT48" s="345" t="s">
        <v>70</v>
      </c>
      <c r="AU48" s="346" t="s">
        <v>71</v>
      </c>
      <c r="AV48" s="104"/>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448"/>
      <c r="CI48" s="338"/>
    </row>
    <row r="49" spans="3:87" ht="12" customHeight="1">
      <c r="C49" s="612"/>
      <c r="D49" s="618"/>
      <c r="E49" s="606"/>
      <c r="F49" s="606"/>
      <c r="G49" s="606"/>
      <c r="H49" s="606"/>
      <c r="I49" s="606"/>
      <c r="J49" s="606"/>
      <c r="K49" s="606"/>
      <c r="L49" s="606"/>
      <c r="M49" s="606"/>
      <c r="N49" s="606"/>
      <c r="O49" s="606"/>
      <c r="P49" s="606"/>
      <c r="Q49" s="606"/>
      <c r="R49" s="610"/>
      <c r="S49" s="633"/>
      <c r="T49" s="803"/>
      <c r="U49" s="804"/>
      <c r="V49" s="805"/>
      <c r="W49" s="606"/>
      <c r="X49" s="606"/>
      <c r="Y49" s="606"/>
      <c r="Z49" s="606"/>
      <c r="AA49" s="606"/>
      <c r="AB49" s="788"/>
      <c r="AC49" s="789"/>
      <c r="AD49" s="789"/>
      <c r="AE49" s="789"/>
      <c r="AF49" s="790"/>
      <c r="AG49" s="606"/>
      <c r="AH49" s="606"/>
      <c r="AI49" s="606"/>
      <c r="AJ49" s="606"/>
      <c r="AK49" s="606"/>
      <c r="AL49" s="606"/>
      <c r="AM49" s="606"/>
      <c r="AN49" s="606"/>
      <c r="AO49" s="606"/>
      <c r="AP49" s="606"/>
      <c r="AQ49" s="606"/>
      <c r="AT49" s="347" t="s">
        <v>73</v>
      </c>
      <c r="AU49" s="346" t="s">
        <v>75</v>
      </c>
      <c r="AV49" s="104"/>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448"/>
      <c r="CI49" s="338"/>
    </row>
    <row r="50" spans="3:87" ht="15" customHeight="1">
      <c r="C50" s="612"/>
      <c r="D50" s="603" t="str">
        <f>D17&amp;" (W2,9)"</f>
        <v>Other economic activities (W2,9)</v>
      </c>
      <c r="E50" s="606"/>
      <c r="F50" s="606"/>
      <c r="G50" s="606"/>
      <c r="H50" s="606"/>
      <c r="I50" s="606"/>
      <c r="J50" s="606"/>
      <c r="K50" s="606"/>
      <c r="L50" s="606"/>
      <c r="M50" s="606"/>
      <c r="N50" s="606"/>
      <c r="O50" s="606"/>
      <c r="P50" s="606"/>
      <c r="Q50" s="606"/>
      <c r="R50" s="606"/>
      <c r="S50" s="610"/>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7" t="s">
        <v>72</v>
      </c>
      <c r="AU50" s="346" t="s">
        <v>14</v>
      </c>
      <c r="AV50" s="104"/>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448"/>
      <c r="CI50" s="338"/>
    </row>
    <row r="51" spans="2:87" ht="22.5" customHeight="1">
      <c r="B51" s="199">
        <v>1</v>
      </c>
      <c r="C51" s="331" t="s">
        <v>371</v>
      </c>
      <c r="D51" s="433"/>
      <c r="E51" s="331"/>
      <c r="F51" s="231"/>
      <c r="G51" s="334"/>
      <c r="H51" s="335"/>
      <c r="I51" s="336"/>
      <c r="J51" s="335"/>
      <c r="K51" s="336"/>
      <c r="L51" s="335"/>
      <c r="M51" s="336"/>
      <c r="N51" s="335"/>
      <c r="O51" s="336"/>
      <c r="P51" s="335"/>
      <c r="Q51" s="334"/>
      <c r="R51" s="335"/>
      <c r="S51" s="334"/>
      <c r="T51" s="335"/>
      <c r="U51" s="334"/>
      <c r="V51" s="335"/>
      <c r="W51" s="334"/>
      <c r="X51" s="335"/>
      <c r="Y51" s="334"/>
      <c r="Z51" s="434"/>
      <c r="AA51" s="334"/>
      <c r="AB51" s="335"/>
      <c r="AC51" s="336"/>
      <c r="AD51" s="335"/>
      <c r="AE51" s="334"/>
      <c r="AF51" s="335"/>
      <c r="AG51" s="334"/>
      <c r="AH51" s="335"/>
      <c r="AI51" s="387"/>
      <c r="AJ51" s="387"/>
      <c r="AK51" s="387"/>
      <c r="AL51" s="387"/>
      <c r="AM51" s="387"/>
      <c r="AN51" s="386"/>
      <c r="AO51" s="333"/>
      <c r="AP51" s="386"/>
      <c r="AQ51" s="333"/>
      <c r="AR51" s="333"/>
      <c r="AT51" s="601"/>
      <c r="AU51" s="601"/>
      <c r="AV51" s="104"/>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448"/>
      <c r="CI51" s="338"/>
    </row>
    <row r="52" spans="3:87" ht="9" customHeight="1">
      <c r="C52" s="598"/>
      <c r="D52" s="598"/>
      <c r="E52" s="599"/>
      <c r="F52" s="451"/>
      <c r="G52" s="367"/>
      <c r="H52" s="372"/>
      <c r="I52" s="456"/>
      <c r="J52" s="372"/>
      <c r="K52" s="456"/>
      <c r="L52" s="372"/>
      <c r="M52" s="456"/>
      <c r="N52" s="372"/>
      <c r="O52" s="456"/>
      <c r="P52" s="372"/>
      <c r="Q52" s="367"/>
      <c r="R52" s="372"/>
      <c r="S52" s="367"/>
      <c r="T52" s="372"/>
      <c r="U52" s="367"/>
      <c r="V52" s="372"/>
      <c r="W52" s="367"/>
      <c r="X52" s="372"/>
      <c r="Y52" s="367"/>
      <c r="Z52" s="600"/>
      <c r="AA52" s="367"/>
      <c r="AB52" s="372"/>
      <c r="AC52" s="456"/>
      <c r="AD52" s="372"/>
      <c r="AE52" s="367"/>
      <c r="AF52" s="372"/>
      <c r="AG52" s="367"/>
      <c r="AH52" s="372"/>
      <c r="AT52" s="449"/>
      <c r="AU52" s="450"/>
      <c r="AV52" s="104"/>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448"/>
      <c r="CI52" s="338"/>
    </row>
    <row r="53" spans="3:87" ht="18" customHeight="1">
      <c r="C53" s="342" t="s">
        <v>366</v>
      </c>
      <c r="D53" s="438" t="s">
        <v>369</v>
      </c>
      <c r="E53" s="438"/>
      <c r="F53" s="439"/>
      <c r="G53" s="440"/>
      <c r="H53" s="441"/>
      <c r="I53" s="442"/>
      <c r="J53" s="441"/>
      <c r="K53" s="442"/>
      <c r="L53" s="441"/>
      <c r="M53" s="442"/>
      <c r="N53" s="441"/>
      <c r="O53" s="442"/>
      <c r="P53" s="441"/>
      <c r="Q53" s="440"/>
      <c r="R53" s="441"/>
      <c r="S53" s="440"/>
      <c r="T53" s="441"/>
      <c r="U53" s="440"/>
      <c r="V53" s="441"/>
      <c r="W53" s="440"/>
      <c r="X53" s="441"/>
      <c r="Y53" s="440"/>
      <c r="Z53" s="443"/>
      <c r="AA53" s="440"/>
      <c r="AB53" s="441"/>
      <c r="AC53" s="442"/>
      <c r="AD53" s="441"/>
      <c r="AE53" s="440"/>
      <c r="AF53" s="441"/>
      <c r="AG53" s="440"/>
      <c r="AH53" s="441"/>
      <c r="AI53" s="440"/>
      <c r="AJ53" s="440"/>
      <c r="AK53" s="440"/>
      <c r="AL53" s="440"/>
      <c r="AM53" s="440"/>
      <c r="AN53" s="441"/>
      <c r="AO53" s="444"/>
      <c r="AP53" s="441"/>
      <c r="AQ53" s="444"/>
      <c r="AR53" s="445"/>
      <c r="AT53" s="449"/>
      <c r="AU53" s="450"/>
      <c r="AV53" s="104"/>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448"/>
      <c r="CI53" s="338"/>
    </row>
    <row r="54" spans="3:87" ht="18" customHeight="1">
      <c r="C54" s="654"/>
      <c r="D54" s="736"/>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7"/>
      <c r="AT54" s="449"/>
      <c r="AU54" s="450"/>
      <c r="AV54" s="104"/>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448"/>
      <c r="CI54" s="338"/>
    </row>
    <row r="55" spans="3:87" ht="18" customHeight="1">
      <c r="C55" s="596"/>
      <c r="D55" s="756"/>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72"/>
      <c r="AJ55" s="772"/>
      <c r="AK55" s="772"/>
      <c r="AL55" s="772"/>
      <c r="AM55" s="772"/>
      <c r="AN55" s="772"/>
      <c r="AO55" s="772"/>
      <c r="AP55" s="772"/>
      <c r="AQ55" s="772"/>
      <c r="AR55" s="773"/>
      <c r="AT55" s="449"/>
      <c r="AU55" s="450"/>
      <c r="AV55" s="104"/>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448"/>
      <c r="CI55" s="338"/>
    </row>
    <row r="56" spans="3:87" ht="18" customHeight="1">
      <c r="C56" s="596"/>
      <c r="D56" s="756"/>
      <c r="E56" s="772"/>
      <c r="F56" s="772"/>
      <c r="G56" s="772"/>
      <c r="H56" s="772"/>
      <c r="I56" s="772"/>
      <c r="J56" s="772"/>
      <c r="K56" s="772"/>
      <c r="L56" s="772"/>
      <c r="M56" s="772"/>
      <c r="N56" s="772"/>
      <c r="O56" s="772"/>
      <c r="P56" s="772"/>
      <c r="Q56" s="772"/>
      <c r="R56" s="772"/>
      <c r="S56" s="772"/>
      <c r="T56" s="772"/>
      <c r="U56" s="772"/>
      <c r="V56" s="772"/>
      <c r="W56" s="772"/>
      <c r="X56" s="772"/>
      <c r="Y56" s="772"/>
      <c r="Z56" s="772"/>
      <c r="AA56" s="772"/>
      <c r="AB56" s="772"/>
      <c r="AC56" s="772"/>
      <c r="AD56" s="772"/>
      <c r="AE56" s="772"/>
      <c r="AF56" s="772"/>
      <c r="AG56" s="772"/>
      <c r="AH56" s="772"/>
      <c r="AI56" s="772"/>
      <c r="AJ56" s="772"/>
      <c r="AK56" s="772"/>
      <c r="AL56" s="772"/>
      <c r="AM56" s="772"/>
      <c r="AN56" s="772"/>
      <c r="AO56" s="772"/>
      <c r="AP56" s="772"/>
      <c r="AQ56" s="772"/>
      <c r="AR56" s="773"/>
      <c r="AT56" s="449"/>
      <c r="AU56" s="450"/>
      <c r="AV56" s="104"/>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448"/>
      <c r="CI56" s="338"/>
    </row>
    <row r="57" spans="3:87" ht="18" customHeight="1">
      <c r="C57" s="596"/>
      <c r="D57" s="756"/>
      <c r="E57" s="772"/>
      <c r="F57" s="772"/>
      <c r="G57" s="772"/>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3"/>
      <c r="AT57" s="449"/>
      <c r="AU57" s="450"/>
      <c r="AV57" s="104"/>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448"/>
      <c r="CI57" s="338"/>
    </row>
    <row r="58" spans="3:87" ht="18" customHeight="1">
      <c r="C58" s="596"/>
      <c r="D58" s="756"/>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2"/>
      <c r="AR58" s="773"/>
      <c r="AT58" s="449"/>
      <c r="AU58" s="450"/>
      <c r="AV58" s="104"/>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448"/>
      <c r="CI58" s="338"/>
    </row>
    <row r="59" spans="3:87" ht="18" customHeight="1">
      <c r="C59" s="596"/>
      <c r="D59" s="756"/>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c r="AR59" s="773"/>
      <c r="AT59" s="449"/>
      <c r="AU59" s="450"/>
      <c r="AV59" s="104"/>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448"/>
      <c r="CI59" s="338"/>
    </row>
    <row r="60" spans="3:87" ht="18" customHeight="1">
      <c r="C60" s="596"/>
      <c r="D60" s="756"/>
      <c r="E60" s="772"/>
      <c r="F60" s="772"/>
      <c r="G60" s="772"/>
      <c r="H60" s="772"/>
      <c r="I60" s="772"/>
      <c r="J60" s="772"/>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2"/>
      <c r="AL60" s="772"/>
      <c r="AM60" s="772"/>
      <c r="AN60" s="772"/>
      <c r="AO60" s="772"/>
      <c r="AP60" s="772"/>
      <c r="AQ60" s="772"/>
      <c r="AR60" s="773"/>
      <c r="AT60" s="449"/>
      <c r="AU60" s="450"/>
      <c r="AV60" s="104"/>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448"/>
      <c r="CI60" s="338"/>
    </row>
    <row r="61" spans="3:87" ht="18" customHeight="1">
      <c r="C61" s="655"/>
      <c r="D61" s="756"/>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2"/>
      <c r="AN61" s="772"/>
      <c r="AO61" s="772"/>
      <c r="AP61" s="772"/>
      <c r="AQ61" s="772"/>
      <c r="AR61" s="773"/>
      <c r="AT61" s="449"/>
      <c r="AU61" s="452"/>
      <c r="AV61" s="104"/>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448"/>
      <c r="CI61" s="338"/>
    </row>
    <row r="62" spans="3:87" ht="18" customHeight="1">
      <c r="C62" s="596"/>
      <c r="D62" s="756"/>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3"/>
      <c r="CH62" s="122"/>
      <c r="CI62" s="338"/>
    </row>
    <row r="63" spans="3:87" ht="18" customHeight="1">
      <c r="C63" s="596"/>
      <c r="D63" s="756"/>
      <c r="E63" s="772"/>
      <c r="F63" s="772"/>
      <c r="G63" s="772"/>
      <c r="H63" s="772"/>
      <c r="I63" s="772"/>
      <c r="J63" s="772"/>
      <c r="K63" s="772"/>
      <c r="L63" s="772"/>
      <c r="M63" s="772"/>
      <c r="N63" s="772"/>
      <c r="O63" s="772"/>
      <c r="P63" s="772"/>
      <c r="Q63" s="772"/>
      <c r="R63" s="772"/>
      <c r="S63" s="772"/>
      <c r="T63" s="772"/>
      <c r="U63" s="772"/>
      <c r="V63" s="772"/>
      <c r="W63" s="772"/>
      <c r="X63" s="772"/>
      <c r="Y63" s="772"/>
      <c r="Z63" s="772"/>
      <c r="AA63" s="772"/>
      <c r="AB63" s="772"/>
      <c r="AC63" s="772"/>
      <c r="AD63" s="772"/>
      <c r="AE63" s="772"/>
      <c r="AF63" s="772"/>
      <c r="AG63" s="772"/>
      <c r="AH63" s="772"/>
      <c r="AI63" s="772"/>
      <c r="AJ63" s="772"/>
      <c r="AK63" s="772"/>
      <c r="AL63" s="772"/>
      <c r="AM63" s="772"/>
      <c r="AN63" s="772"/>
      <c r="AO63" s="772"/>
      <c r="AP63" s="772"/>
      <c r="AQ63" s="772"/>
      <c r="AR63" s="773"/>
      <c r="CH63" s="122"/>
      <c r="CI63" s="338"/>
    </row>
    <row r="64" spans="3:87" ht="18" customHeight="1">
      <c r="C64" s="596"/>
      <c r="D64" s="634"/>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6"/>
      <c r="CH64" s="122"/>
      <c r="CI64" s="338"/>
    </row>
    <row r="65" spans="3:87" ht="18" customHeight="1">
      <c r="C65" s="596"/>
      <c r="D65" s="756"/>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3"/>
      <c r="CH65" s="122"/>
      <c r="CI65" s="338"/>
    </row>
    <row r="66" spans="3:87" ht="18" customHeight="1">
      <c r="C66" s="596"/>
      <c r="D66" s="756"/>
      <c r="E66" s="772"/>
      <c r="F66" s="772"/>
      <c r="G66" s="772"/>
      <c r="H66" s="772"/>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2"/>
      <c r="AL66" s="772"/>
      <c r="AM66" s="772"/>
      <c r="AN66" s="772"/>
      <c r="AO66" s="772"/>
      <c r="AP66" s="772"/>
      <c r="AQ66" s="772"/>
      <c r="AR66" s="773"/>
      <c r="CH66" s="122"/>
      <c r="CI66" s="338"/>
    </row>
    <row r="67" spans="2:87" ht="18" customHeight="1">
      <c r="B67" s="454"/>
      <c r="C67" s="655"/>
      <c r="D67" s="756"/>
      <c r="E67" s="772"/>
      <c r="F67" s="772"/>
      <c r="G67" s="772"/>
      <c r="H67" s="772"/>
      <c r="I67" s="772"/>
      <c r="J67" s="772"/>
      <c r="K67" s="772"/>
      <c r="L67" s="772"/>
      <c r="M67" s="772"/>
      <c r="N67" s="772"/>
      <c r="O67" s="772"/>
      <c r="P67" s="772"/>
      <c r="Q67" s="772"/>
      <c r="R67" s="772"/>
      <c r="S67" s="772"/>
      <c r="T67" s="772"/>
      <c r="U67" s="772"/>
      <c r="V67" s="772"/>
      <c r="W67" s="772"/>
      <c r="X67" s="772"/>
      <c r="Y67" s="772"/>
      <c r="Z67" s="772"/>
      <c r="AA67" s="772"/>
      <c r="AB67" s="772"/>
      <c r="AC67" s="772"/>
      <c r="AD67" s="772"/>
      <c r="AE67" s="772"/>
      <c r="AF67" s="772"/>
      <c r="AG67" s="772"/>
      <c r="AH67" s="772"/>
      <c r="AI67" s="772"/>
      <c r="AJ67" s="772"/>
      <c r="AK67" s="772"/>
      <c r="AL67" s="772"/>
      <c r="AM67" s="772"/>
      <c r="AN67" s="772"/>
      <c r="AO67" s="772"/>
      <c r="AP67" s="772"/>
      <c r="AQ67" s="772"/>
      <c r="AR67" s="773"/>
      <c r="CH67" s="122"/>
      <c r="CI67" s="338"/>
    </row>
    <row r="68" spans="3:87" ht="18" customHeight="1">
      <c r="C68" s="596"/>
      <c r="D68" s="756"/>
      <c r="E68" s="772"/>
      <c r="F68" s="772"/>
      <c r="G68" s="772"/>
      <c r="H68" s="772"/>
      <c r="I68" s="772"/>
      <c r="J68" s="772"/>
      <c r="K68" s="772"/>
      <c r="L68" s="772"/>
      <c r="M68" s="772"/>
      <c r="N68" s="772"/>
      <c r="O68" s="772"/>
      <c r="P68" s="772"/>
      <c r="Q68" s="772"/>
      <c r="R68" s="772"/>
      <c r="S68" s="772"/>
      <c r="T68" s="772"/>
      <c r="U68" s="772"/>
      <c r="V68" s="772"/>
      <c r="W68" s="772"/>
      <c r="X68" s="772"/>
      <c r="Y68" s="772"/>
      <c r="Z68" s="772"/>
      <c r="AA68" s="772"/>
      <c r="AB68" s="772"/>
      <c r="AC68" s="772"/>
      <c r="AD68" s="772"/>
      <c r="AE68" s="772"/>
      <c r="AF68" s="772"/>
      <c r="AG68" s="772"/>
      <c r="AH68" s="772"/>
      <c r="AI68" s="772"/>
      <c r="AJ68" s="772"/>
      <c r="AK68" s="772"/>
      <c r="AL68" s="772"/>
      <c r="AM68" s="772"/>
      <c r="AN68" s="772"/>
      <c r="AO68" s="772"/>
      <c r="AP68" s="772"/>
      <c r="AQ68" s="772"/>
      <c r="AR68" s="773"/>
      <c r="CH68" s="122"/>
      <c r="CI68" s="338"/>
    </row>
    <row r="69" spans="3:87" ht="18" customHeight="1">
      <c r="C69" s="596"/>
      <c r="D69" s="756"/>
      <c r="E69" s="772"/>
      <c r="F69" s="772"/>
      <c r="G69" s="772"/>
      <c r="H69" s="772"/>
      <c r="I69" s="772"/>
      <c r="J69" s="772"/>
      <c r="K69" s="772"/>
      <c r="L69" s="772"/>
      <c r="M69" s="772"/>
      <c r="N69" s="772"/>
      <c r="O69" s="772"/>
      <c r="P69" s="772"/>
      <c r="Q69" s="772"/>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3"/>
      <c r="CH69" s="455"/>
      <c r="CI69" s="338"/>
    </row>
    <row r="70" spans="3:87" ht="18" customHeight="1">
      <c r="C70" s="596"/>
      <c r="D70" s="756"/>
      <c r="E70" s="793"/>
      <c r="F70" s="793"/>
      <c r="G70" s="793"/>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4"/>
      <c r="CH70" s="455"/>
      <c r="CI70" s="338"/>
    </row>
    <row r="71" spans="3:44" ht="18" customHeight="1">
      <c r="C71" s="596"/>
      <c r="D71" s="756"/>
      <c r="E71" s="772"/>
      <c r="F71" s="772"/>
      <c r="G71" s="772"/>
      <c r="H71" s="772"/>
      <c r="I71" s="772"/>
      <c r="J71" s="772"/>
      <c r="K71" s="772"/>
      <c r="L71" s="772"/>
      <c r="M71" s="772"/>
      <c r="N71" s="772"/>
      <c r="O71" s="772"/>
      <c r="P71" s="772"/>
      <c r="Q71" s="772"/>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3"/>
    </row>
    <row r="72" spans="3:44" ht="18" customHeight="1">
      <c r="C72" s="596"/>
      <c r="D72" s="756"/>
      <c r="E72" s="772"/>
      <c r="F72" s="772"/>
      <c r="G72" s="772"/>
      <c r="H72" s="772"/>
      <c r="I72" s="772"/>
      <c r="J72" s="772"/>
      <c r="K72" s="772"/>
      <c r="L72" s="772"/>
      <c r="M72" s="772"/>
      <c r="N72" s="772"/>
      <c r="O72" s="772"/>
      <c r="P72" s="772"/>
      <c r="Q72" s="772"/>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3"/>
    </row>
    <row r="73" spans="2:44" ht="18" customHeight="1">
      <c r="B73" s="602"/>
      <c r="C73" s="655"/>
      <c r="D73" s="756"/>
      <c r="E73" s="772"/>
      <c r="F73" s="772"/>
      <c r="G73" s="772"/>
      <c r="H73" s="772"/>
      <c r="I73" s="772"/>
      <c r="J73" s="772"/>
      <c r="K73" s="772"/>
      <c r="L73" s="772"/>
      <c r="M73" s="772"/>
      <c r="N73" s="772"/>
      <c r="O73" s="772"/>
      <c r="P73" s="772"/>
      <c r="Q73" s="772"/>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3"/>
    </row>
    <row r="74" spans="3:44" ht="18" customHeight="1">
      <c r="C74" s="596"/>
      <c r="D74" s="810"/>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c r="AG74" s="811"/>
      <c r="AH74" s="811"/>
      <c r="AI74" s="811"/>
      <c r="AJ74" s="811"/>
      <c r="AK74" s="811"/>
      <c r="AL74" s="811"/>
      <c r="AM74" s="811"/>
      <c r="AN74" s="811"/>
      <c r="AO74" s="811"/>
      <c r="AP74" s="811"/>
      <c r="AQ74" s="811"/>
      <c r="AR74" s="812"/>
    </row>
    <row r="75" spans="1:86" s="338" customFormat="1" ht="18" customHeight="1">
      <c r="A75" s="230"/>
      <c r="B75" s="199"/>
      <c r="C75" s="656"/>
      <c r="D75" s="767"/>
      <c r="E75" s="813"/>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c r="AF75" s="813"/>
      <c r="AG75" s="813"/>
      <c r="AH75" s="813"/>
      <c r="AI75" s="813"/>
      <c r="AJ75" s="813"/>
      <c r="AK75" s="813"/>
      <c r="AL75" s="813"/>
      <c r="AM75" s="813"/>
      <c r="AN75" s="813"/>
      <c r="AO75" s="813"/>
      <c r="AP75" s="813"/>
      <c r="AQ75" s="813"/>
      <c r="AR75" s="814"/>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row>
    <row r="76" spans="1:86" s="338" customFormat="1" ht="15" customHeight="1">
      <c r="A76" s="230"/>
      <c r="B76" s="199"/>
      <c r="C76" s="657"/>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row>
    <row r="77" spans="1:86" s="338" customFormat="1" ht="10.5" customHeight="1">
      <c r="A77" s="230"/>
      <c r="B77" s="199"/>
      <c r="C77" s="657"/>
      <c r="D77" s="626"/>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row>
    <row r="78" spans="3:85" ht="16.5" customHeight="1">
      <c r="C78" s="432"/>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row>
    <row r="79" spans="3:44" ht="24" customHeight="1">
      <c r="C79" s="432"/>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row>
    <row r="80" spans="3:44" ht="9.75" customHeight="1">
      <c r="C80" s="432"/>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row>
    <row r="81" spans="3:44" ht="16.5" customHeight="1">
      <c r="C81" s="432"/>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row>
    <row r="82" ht="26.25" customHeight="1"/>
    <row r="83" spans="3:33" ht="12.75" customHeight="1">
      <c r="C83" s="451"/>
      <c r="D83" s="451"/>
      <c r="E83" s="451"/>
      <c r="F83" s="451"/>
      <c r="G83" s="367"/>
      <c r="H83" s="372"/>
      <c r="I83" s="456"/>
      <c r="J83" s="372"/>
      <c r="K83" s="456"/>
      <c r="L83" s="372"/>
      <c r="M83" s="456"/>
      <c r="N83" s="372"/>
      <c r="O83" s="456"/>
      <c r="P83" s="372"/>
      <c r="Q83" s="367"/>
      <c r="R83" s="372"/>
      <c r="S83" s="367"/>
      <c r="T83" s="372"/>
      <c r="U83" s="367"/>
      <c r="V83" s="372"/>
      <c r="W83" s="367"/>
      <c r="X83" s="372"/>
      <c r="Y83" s="367"/>
      <c r="Z83" s="372"/>
      <c r="AA83" s="367"/>
      <c r="AB83" s="372"/>
      <c r="AC83" s="456"/>
      <c r="AD83" s="372"/>
      <c r="AE83" s="367"/>
      <c r="AF83" s="372"/>
      <c r="AG83" s="367"/>
    </row>
    <row r="84" ht="24" customHeight="1"/>
    <row r="86" ht="26.25" customHeight="1"/>
    <row r="88" ht="27.75" customHeight="1"/>
    <row r="90" ht="19.5" customHeight="1"/>
    <row r="92" ht="16.5" customHeight="1"/>
    <row r="93" spans="1:2" ht="12.75">
      <c r="A93" s="457"/>
      <c r="B93" s="458"/>
    </row>
    <row r="94" spans="1:2" ht="12.75">
      <c r="A94" s="457"/>
      <c r="B94" s="458"/>
    </row>
    <row r="95" spans="1:2" ht="12.75">
      <c r="A95" s="457"/>
      <c r="B95" s="458"/>
    </row>
  </sheetData>
  <sheetProtection sheet="1" formatCells="0" formatColumns="0" formatRows="0" insertColumns="0" insertRows="0" insertHyperlinks="0"/>
  <mergeCells count="41">
    <mergeCell ref="D71:AR71"/>
    <mergeCell ref="D35:AR35"/>
    <mergeCell ref="D73:AR73"/>
    <mergeCell ref="AK39:AQ39"/>
    <mergeCell ref="D74:AR74"/>
    <mergeCell ref="D72:AR72"/>
    <mergeCell ref="D75:AR75"/>
    <mergeCell ref="D63:AR63"/>
    <mergeCell ref="D65:AR65"/>
    <mergeCell ref="D66:AR66"/>
    <mergeCell ref="D67:AR67"/>
    <mergeCell ref="D69:AR69"/>
    <mergeCell ref="T46:V49"/>
    <mergeCell ref="D59:AR59"/>
    <mergeCell ref="C5:AG5"/>
    <mergeCell ref="D36:AR36"/>
    <mergeCell ref="D37:AR37"/>
    <mergeCell ref="D33:AR33"/>
    <mergeCell ref="D34:AR34"/>
    <mergeCell ref="E38:V38"/>
    <mergeCell ref="AK38:AP38"/>
    <mergeCell ref="AE40:AG45"/>
    <mergeCell ref="AH42:AI43"/>
    <mergeCell ref="D55:AR55"/>
    <mergeCell ref="D70:AR70"/>
    <mergeCell ref="T44:V44"/>
    <mergeCell ref="AK44:AQ44"/>
    <mergeCell ref="D56:AR56"/>
    <mergeCell ref="D57:AR57"/>
    <mergeCell ref="D54:AR54"/>
    <mergeCell ref="D60:AR60"/>
    <mergeCell ref="D62:AR62"/>
    <mergeCell ref="D68:AR68"/>
    <mergeCell ref="D58:AR58"/>
    <mergeCell ref="D61:AR61"/>
    <mergeCell ref="Y40:AB45"/>
    <mergeCell ref="AK46:AQ46"/>
    <mergeCell ref="AK41:AQ42"/>
    <mergeCell ref="AB48:AF49"/>
    <mergeCell ref="AK48:AQ48"/>
    <mergeCell ref="T40:V42"/>
  </mergeCells>
  <conditionalFormatting sqref="AW23 AW16 AW9">
    <cfRule type="cellIs" priority="99" dxfId="227" operator="lessThan" stopIfTrue="1">
      <formula>#REF!+#REF!</formula>
    </cfRule>
    <cfRule type="cellIs" priority="100" dxfId="227" operator="lessThan" stopIfTrue="1">
      <formula>#REF!+AW12+AW13+AW14+AW15+#REF!</formula>
    </cfRule>
  </conditionalFormatting>
  <conditionalFormatting sqref="AW10 AW17 AW24">
    <cfRule type="cellIs" priority="101" dxfId="227" operator="lessThan" stopIfTrue="1">
      <formula>#REF!+#REF!</formula>
    </cfRule>
    <cfRule type="cellIs" priority="102" dxfId="227" operator="lessThan" stopIfTrue="1">
      <formula>AW12+AW13+AW14+AW15+#REF!+#REF!</formula>
    </cfRule>
  </conditionalFormatting>
  <conditionalFormatting sqref="AW11 AW18 AW25">
    <cfRule type="cellIs" priority="103" dxfId="227" operator="lessThan" stopIfTrue="1">
      <formula>#REF!+#REF!</formula>
    </cfRule>
    <cfRule type="cellIs" priority="104" dxfId="227" operator="lessThan" stopIfTrue="1">
      <formula>AW13+AW14+AW15+#REF!+#REF!+#REF!</formula>
    </cfRule>
  </conditionalFormatting>
  <conditionalFormatting sqref="AW8">
    <cfRule type="cellIs" priority="105" dxfId="227" operator="lessThan" stopIfTrue="1">
      <formula>#REF!+#REF!</formula>
    </cfRule>
    <cfRule type="cellIs" priority="106" dxfId="227" operator="lessThan" stopIfTrue="1">
      <formula>AW10+AW11+AW12+AW13+AW14+AW15</formula>
    </cfRule>
  </conditionalFormatting>
  <conditionalFormatting sqref="AW14">
    <cfRule type="cellIs" priority="107" dxfId="227" operator="lessThan" stopIfTrue="1">
      <formula>AW30+#REF!</formula>
    </cfRule>
    <cfRule type="cellIs" priority="108" dxfId="227" operator="lessThan" stopIfTrue="1">
      <formula>#REF!+#REF!+#REF!+#REF!+#REF!+AW27</formula>
    </cfRule>
  </conditionalFormatting>
  <conditionalFormatting sqref="AW15">
    <cfRule type="cellIs" priority="109" dxfId="227" operator="lessThan" stopIfTrue="1">
      <formula>AW31+#REF!</formula>
    </cfRule>
    <cfRule type="cellIs" priority="110" dxfId="227" operator="lessThan" stopIfTrue="1">
      <formula>#REF!+#REF!+#REF!+#REF!+AW27+AW29</formula>
    </cfRule>
  </conditionalFormatting>
  <conditionalFormatting sqref="F24">
    <cfRule type="cellIs" priority="111" dxfId="227" operator="lessThan" stopIfTrue="1">
      <formula>F22-F23</formula>
    </cfRule>
  </conditionalFormatting>
  <conditionalFormatting sqref="AW13">
    <cfRule type="cellIs" priority="112" dxfId="227" operator="lessThan" stopIfTrue="1">
      <formula>AW29+#REF!</formula>
    </cfRule>
    <cfRule type="cellIs" priority="113" dxfId="227" operator="lessThan" stopIfTrue="1">
      <formula>AW15+#REF!+#REF!+#REF!+#REF!+#REF!</formula>
    </cfRule>
  </conditionalFormatting>
  <conditionalFormatting sqref="AW12">
    <cfRule type="cellIs" priority="114" dxfId="227" operator="lessThan" stopIfTrue="1">
      <formula>AW27+#REF!</formula>
    </cfRule>
    <cfRule type="cellIs" priority="115" dxfId="227" operator="lessThan" stopIfTrue="1">
      <formula>AW14+AW15+#REF!+#REF!+#REF!+#REF!</formula>
    </cfRule>
  </conditionalFormatting>
  <conditionalFormatting sqref="F10">
    <cfRule type="cellIs" priority="116" dxfId="227" operator="lessThan" stopIfTrue="1">
      <formula>F8+F9</formula>
    </cfRule>
  </conditionalFormatting>
  <conditionalFormatting sqref="F22">
    <cfRule type="cellIs" priority="117" dxfId="227" operator="lessThan" stopIfTrue="1">
      <formula>F10+F18+F19+F20-F21</formula>
    </cfRule>
  </conditionalFormatting>
  <conditionalFormatting sqref="AW30">
    <cfRule type="cellIs" priority="118" dxfId="227" operator="lessThan" stopIfTrue="1">
      <formula>#REF!+AW38</formula>
    </cfRule>
    <cfRule type="cellIs" priority="119" dxfId="227" operator="lessThan" stopIfTrue="1">
      <formula>#REF!+#REF!+#REF!+#REF!+#REF!+#REF!</formula>
    </cfRule>
  </conditionalFormatting>
  <conditionalFormatting sqref="AW31">
    <cfRule type="cellIs" priority="120" dxfId="227" operator="lessThan" stopIfTrue="1">
      <formula>#REF!+AW40</formula>
    </cfRule>
    <cfRule type="cellIs" priority="121" dxfId="227" operator="lessThan" stopIfTrue="1">
      <formula>#REF!+#REF!+#REF!+#REF!+#REF!+#REF!</formula>
    </cfRule>
  </conditionalFormatting>
  <conditionalFormatting sqref="AW27">
    <cfRule type="cellIs" priority="122" dxfId="227" operator="lessThan" stopIfTrue="1">
      <formula>#REF!+#REF!</formula>
    </cfRule>
    <cfRule type="cellIs" priority="123" dxfId="227" operator="lessThan" stopIfTrue="1">
      <formula>AW29+#REF!+#REF!+#REF!+#REF!+#REF!</formula>
    </cfRule>
  </conditionalFormatting>
  <conditionalFormatting sqref="AW26">
    <cfRule type="cellIs" priority="124" dxfId="227" operator="lessThan" stopIfTrue="1">
      <formula>#REF!+#REF!</formula>
    </cfRule>
    <cfRule type="cellIs" priority="125" dxfId="227" operator="lessThan" stopIfTrue="1">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priority="126" dxfId="227" operator="equal" stopIfTrue="1">
      <formula>"&lt;&gt;"</formula>
    </cfRule>
  </conditionalFormatting>
  <conditionalFormatting sqref="AW28">
    <cfRule type="cellIs" priority="127" dxfId="227" operator="lessThan" stopIfTrue="1">
      <formula>#REF!+#REF!</formula>
    </cfRule>
    <cfRule type="cellIs" priority="128" dxfId="227" operator="lessThan" stopIfTrue="1">
      <formula>#REF!+#REF!+#REF!+#REF!+#REF!+#REF!</formula>
    </cfRule>
  </conditionalFormatting>
  <conditionalFormatting sqref="BE8:BE31 CC8:CC31 CA8:CA31 BY8:BY31 BW8:BW31 BU8:BU31 BS8:BS31 BQ8:BQ31 BO8:BO31 BM8:BM31 BK8:BK31 BI8:BI31 BG8:BG31 CG8:CG31 BA8:BA31 BC8:BC31 CE8:CE31">
    <cfRule type="cellIs" priority="129" dxfId="227" operator="equal" stopIfTrue="1">
      <formula>"&gt; 25%"</formula>
    </cfRule>
  </conditionalFormatting>
  <conditionalFormatting sqref="AY8:AY31">
    <cfRule type="cellIs" priority="130" dxfId="227" operator="equal" stopIfTrue="1">
      <formula>"&gt; 100%"</formula>
    </cfRule>
  </conditionalFormatting>
  <conditionalFormatting sqref="AW29">
    <cfRule type="cellIs" priority="131" dxfId="227" operator="lessThan" stopIfTrue="1">
      <formula>#REF!+AW37</formula>
    </cfRule>
    <cfRule type="cellIs" priority="132" dxfId="227" operator="lessThan" stopIfTrue="1">
      <formula>AW31+#REF!+#REF!+#REF!+#REF!+#REF!</formula>
    </cfRule>
  </conditionalFormatting>
  <conditionalFormatting sqref="AW21">
    <cfRule type="cellIs" priority="133" dxfId="227" operator="lessThan" stopIfTrue="1">
      <formula>AW36+#REF!</formula>
    </cfRule>
    <cfRule type="cellIs" priority="134" dxfId="227" operator="lessThan" stopIfTrue="1">
      <formula>#REF!+#REF!+#REF!+#REF!+#REF!+AW33</formula>
    </cfRule>
  </conditionalFormatting>
  <conditionalFormatting sqref="AW22">
    <cfRule type="cellIs" priority="135" dxfId="227" operator="lessThan" stopIfTrue="1">
      <formula>AW37+#REF!</formula>
    </cfRule>
    <cfRule type="cellIs" priority="136" dxfId="227" operator="lessThan" stopIfTrue="1">
      <formula>#REF!+#REF!+#REF!+#REF!+AW33+AW35</formula>
    </cfRule>
  </conditionalFormatting>
  <conditionalFormatting sqref="AW20">
    <cfRule type="cellIs" priority="137" dxfId="227" operator="lessThan" stopIfTrue="1">
      <formula>AW35+#REF!</formula>
    </cfRule>
    <cfRule type="cellIs" priority="138" dxfId="227" operator="lessThan" stopIfTrue="1">
      <formula>AW22+#REF!+#REF!+#REF!+#REF!+#REF!</formula>
    </cfRule>
  </conditionalFormatting>
  <conditionalFormatting sqref="AW19">
    <cfRule type="cellIs" priority="139" dxfId="227" operator="lessThan" stopIfTrue="1">
      <formula>AW33+#REF!</formula>
    </cfRule>
    <cfRule type="cellIs" priority="140" dxfId="227" operator="lessThan" stopIfTrue="1">
      <formula>AW21+AW22+#REF!+#REF!+#REF!+#REF!</formula>
    </cfRule>
  </conditionalFormatting>
  <conditionalFormatting sqref="H24">
    <cfRule type="cellIs" priority="52" dxfId="227" operator="lessThan" stopIfTrue="1">
      <formula>H22-H23</formula>
    </cfRule>
  </conditionalFormatting>
  <conditionalFormatting sqref="H10">
    <cfRule type="cellIs" priority="53" dxfId="227" operator="lessThan" stopIfTrue="1">
      <formula>H8+H9</formula>
    </cfRule>
  </conditionalFormatting>
  <conditionalFormatting sqref="H22">
    <cfRule type="cellIs" priority="54" dxfId="227" operator="lessThan" stopIfTrue="1">
      <formula>H10+H18+H19+H20-H21</formula>
    </cfRule>
  </conditionalFormatting>
  <conditionalFormatting sqref="J24">
    <cfRule type="cellIs" priority="49" dxfId="227" operator="lessThan" stopIfTrue="1">
      <formula>J22-J23</formula>
    </cfRule>
  </conditionalFormatting>
  <conditionalFormatting sqref="J10">
    <cfRule type="cellIs" priority="50" dxfId="227" operator="lessThan" stopIfTrue="1">
      <formula>J8+J9</formula>
    </cfRule>
  </conditionalFormatting>
  <conditionalFormatting sqref="J22">
    <cfRule type="cellIs" priority="51" dxfId="227" operator="lessThan" stopIfTrue="1">
      <formula>J10+J18+J19+J20-J21</formula>
    </cfRule>
  </conditionalFormatting>
  <conditionalFormatting sqref="L24">
    <cfRule type="cellIs" priority="46" dxfId="227" operator="lessThan" stopIfTrue="1">
      <formula>L22-L23</formula>
    </cfRule>
  </conditionalFormatting>
  <conditionalFormatting sqref="L10">
    <cfRule type="cellIs" priority="47" dxfId="227" operator="lessThan" stopIfTrue="1">
      <formula>L8+L9</formula>
    </cfRule>
  </conditionalFormatting>
  <conditionalFormatting sqref="L22">
    <cfRule type="cellIs" priority="48" dxfId="227" operator="lessThan" stopIfTrue="1">
      <formula>L10+L18+L19+L20-L21</formula>
    </cfRule>
  </conditionalFormatting>
  <conditionalFormatting sqref="N24">
    <cfRule type="cellIs" priority="43" dxfId="227" operator="lessThan" stopIfTrue="1">
      <formula>N22-N23</formula>
    </cfRule>
  </conditionalFormatting>
  <conditionalFormatting sqref="N10">
    <cfRule type="cellIs" priority="44" dxfId="227" operator="lessThan" stopIfTrue="1">
      <formula>N8+N9</formula>
    </cfRule>
  </conditionalFormatting>
  <conditionalFormatting sqref="N22">
    <cfRule type="cellIs" priority="45" dxfId="227" operator="lessThan" stopIfTrue="1">
      <formula>N10+N18+N19+N20-N21</formula>
    </cfRule>
  </conditionalFormatting>
  <conditionalFormatting sqref="P24">
    <cfRule type="cellIs" priority="40" dxfId="227" operator="lessThan" stopIfTrue="1">
      <formula>P22-P23</formula>
    </cfRule>
  </conditionalFormatting>
  <conditionalFormatting sqref="P10">
    <cfRule type="cellIs" priority="41" dxfId="227" operator="lessThan" stopIfTrue="1">
      <formula>P8+P9</formula>
    </cfRule>
  </conditionalFormatting>
  <conditionalFormatting sqref="P22">
    <cfRule type="cellIs" priority="42" dxfId="227" operator="lessThan" stopIfTrue="1">
      <formula>P10+P18+P19+P20-P21</formula>
    </cfRule>
  </conditionalFormatting>
  <conditionalFormatting sqref="R24">
    <cfRule type="cellIs" priority="37" dxfId="227" operator="lessThan" stopIfTrue="1">
      <formula>R22-R23</formula>
    </cfRule>
  </conditionalFormatting>
  <conditionalFormatting sqref="R10">
    <cfRule type="cellIs" priority="38" dxfId="227" operator="lessThan" stopIfTrue="1">
      <formula>R8+R9</formula>
    </cfRule>
  </conditionalFormatting>
  <conditionalFormatting sqref="R22">
    <cfRule type="cellIs" priority="39" dxfId="227" operator="lessThan" stopIfTrue="1">
      <formula>R10+R18+R19+R20-R21</formula>
    </cfRule>
  </conditionalFormatting>
  <conditionalFormatting sqref="T24">
    <cfRule type="cellIs" priority="34" dxfId="227" operator="lessThan" stopIfTrue="1">
      <formula>T22-T23</formula>
    </cfRule>
  </conditionalFormatting>
  <conditionalFormatting sqref="T10">
    <cfRule type="cellIs" priority="35" dxfId="227" operator="lessThan" stopIfTrue="1">
      <formula>T8+T9</formula>
    </cfRule>
  </conditionalFormatting>
  <conditionalFormatting sqref="T22">
    <cfRule type="cellIs" priority="36" dxfId="227" operator="lessThan" stopIfTrue="1">
      <formula>T10+T18+T19+T20-T21</formula>
    </cfRule>
  </conditionalFormatting>
  <conditionalFormatting sqref="V24">
    <cfRule type="cellIs" priority="31" dxfId="227" operator="lessThan" stopIfTrue="1">
      <formula>V22-V23</formula>
    </cfRule>
  </conditionalFormatting>
  <conditionalFormatting sqref="V10">
    <cfRule type="cellIs" priority="32" dxfId="227" operator="lessThan" stopIfTrue="1">
      <formula>V8+V9</formula>
    </cfRule>
  </conditionalFormatting>
  <conditionalFormatting sqref="V22">
    <cfRule type="cellIs" priority="33" dxfId="227" operator="lessThan" stopIfTrue="1">
      <formula>V10+V18+V19+V20-V21</formula>
    </cfRule>
  </conditionalFormatting>
  <conditionalFormatting sqref="X24">
    <cfRule type="cellIs" priority="28" dxfId="227" operator="lessThan" stopIfTrue="1">
      <formula>X22-X23</formula>
    </cfRule>
  </conditionalFormatting>
  <conditionalFormatting sqref="X10">
    <cfRule type="cellIs" priority="29" dxfId="227" operator="lessThan" stopIfTrue="1">
      <formula>X8+X9</formula>
    </cfRule>
  </conditionalFormatting>
  <conditionalFormatting sqref="X22">
    <cfRule type="cellIs" priority="30" dxfId="227" operator="lessThan" stopIfTrue="1">
      <formula>X10+X18+X19+X20-X21</formula>
    </cfRule>
  </conditionalFormatting>
  <conditionalFormatting sqref="Z24">
    <cfRule type="cellIs" priority="25" dxfId="227" operator="lessThan" stopIfTrue="1">
      <formula>Z22-Z23</formula>
    </cfRule>
  </conditionalFormatting>
  <conditionalFormatting sqref="Z10">
    <cfRule type="cellIs" priority="26" dxfId="227" operator="lessThan" stopIfTrue="1">
      <formula>Z8+Z9</formula>
    </cfRule>
  </conditionalFormatting>
  <conditionalFormatting sqref="Z22">
    <cfRule type="cellIs" priority="27" dxfId="227" operator="lessThan" stopIfTrue="1">
      <formula>Z10+Z18+Z19+Z20-Z21</formula>
    </cfRule>
  </conditionalFormatting>
  <conditionalFormatting sqref="AB24">
    <cfRule type="cellIs" priority="22" dxfId="227" operator="lessThan" stopIfTrue="1">
      <formula>AB22-AB23</formula>
    </cfRule>
  </conditionalFormatting>
  <conditionalFormatting sqref="AB10">
    <cfRule type="cellIs" priority="23" dxfId="227" operator="lessThan" stopIfTrue="1">
      <formula>AB8+AB9</formula>
    </cfRule>
  </conditionalFormatting>
  <conditionalFormatting sqref="AB22">
    <cfRule type="cellIs" priority="24" dxfId="227" operator="lessThan" stopIfTrue="1">
      <formula>AB10+AB18+AB19+AB20-AB21</formula>
    </cfRule>
  </conditionalFormatting>
  <conditionalFormatting sqref="AD24">
    <cfRule type="cellIs" priority="19" dxfId="227" operator="lessThan" stopIfTrue="1">
      <formula>AD22-AD23</formula>
    </cfRule>
  </conditionalFormatting>
  <conditionalFormatting sqref="AD10">
    <cfRule type="cellIs" priority="20" dxfId="227" operator="lessThan" stopIfTrue="1">
      <formula>AD8+AD9</formula>
    </cfRule>
  </conditionalFormatting>
  <conditionalFormatting sqref="AD22">
    <cfRule type="cellIs" priority="21" dxfId="227" operator="lessThan" stopIfTrue="1">
      <formula>AD10+AD18+AD19+AD20-AD21</formula>
    </cfRule>
  </conditionalFormatting>
  <conditionalFormatting sqref="AF24">
    <cfRule type="cellIs" priority="16" dxfId="227" operator="lessThan" stopIfTrue="1">
      <formula>AF22-AF23</formula>
    </cfRule>
  </conditionalFormatting>
  <conditionalFormatting sqref="AF10">
    <cfRule type="cellIs" priority="17" dxfId="227" operator="lessThan" stopIfTrue="1">
      <formula>AF8+AF9</formula>
    </cfRule>
  </conditionalFormatting>
  <conditionalFormatting sqref="AF22">
    <cfRule type="cellIs" priority="18" dxfId="227" operator="lessThan" stopIfTrue="1">
      <formula>AF10+AF18+AF19+AF20-AF21</formula>
    </cfRule>
  </conditionalFormatting>
  <conditionalFormatting sqref="AH24">
    <cfRule type="cellIs" priority="13" dxfId="227" operator="lessThan" stopIfTrue="1">
      <formula>AH22-AH23</formula>
    </cfRule>
  </conditionalFormatting>
  <conditionalFormatting sqref="AH10">
    <cfRule type="cellIs" priority="14" dxfId="227" operator="lessThan" stopIfTrue="1">
      <formula>AH8+AH9</formula>
    </cfRule>
  </conditionalFormatting>
  <conditionalFormatting sqref="AH22">
    <cfRule type="cellIs" priority="15" dxfId="227" operator="lessThan" stopIfTrue="1">
      <formula>AH10+AH18+AH19+AH20-AH21</formula>
    </cfRule>
  </conditionalFormatting>
  <conditionalFormatting sqref="AJ24">
    <cfRule type="cellIs" priority="10" dxfId="227" operator="lessThan" stopIfTrue="1">
      <formula>AJ22-AJ23</formula>
    </cfRule>
  </conditionalFormatting>
  <conditionalFormatting sqref="AJ10">
    <cfRule type="cellIs" priority="11" dxfId="227" operator="lessThan" stopIfTrue="1">
      <formula>AJ8+AJ9</formula>
    </cfRule>
  </conditionalFormatting>
  <conditionalFormatting sqref="AJ22">
    <cfRule type="cellIs" priority="12" dxfId="227" operator="lessThan" stopIfTrue="1">
      <formula>AJ10+AJ18+AJ19+AJ20-AJ21</formula>
    </cfRule>
  </conditionalFormatting>
  <conditionalFormatting sqref="AL24">
    <cfRule type="cellIs" priority="7" dxfId="227" operator="lessThan" stopIfTrue="1">
      <formula>AL22-AL23</formula>
    </cfRule>
  </conditionalFormatting>
  <conditionalFormatting sqref="AL10">
    <cfRule type="cellIs" priority="8" dxfId="227" operator="lessThan" stopIfTrue="1">
      <formula>AL8+AL9</formula>
    </cfRule>
  </conditionalFormatting>
  <conditionalFormatting sqref="AL22">
    <cfRule type="cellIs" priority="9" dxfId="227" operator="lessThan" stopIfTrue="1">
      <formula>AL10+AL18+AL19+AL20-AL21</formula>
    </cfRule>
  </conditionalFormatting>
  <conditionalFormatting sqref="AN24">
    <cfRule type="cellIs" priority="4" dxfId="227" operator="lessThan" stopIfTrue="1">
      <formula>AN22-AN23</formula>
    </cfRule>
  </conditionalFormatting>
  <conditionalFormatting sqref="AN10">
    <cfRule type="cellIs" priority="5" dxfId="227" operator="lessThan" stopIfTrue="1">
      <formula>AN8+AN9</formula>
    </cfRule>
  </conditionalFormatting>
  <conditionalFormatting sqref="AN22">
    <cfRule type="cellIs" priority="6" dxfId="227" operator="lessThan" stopIfTrue="1">
      <formula>AN10+AN18+AN19+AN20-AN21</formula>
    </cfRule>
  </conditionalFormatting>
  <conditionalFormatting sqref="AP24">
    <cfRule type="cellIs" priority="1" dxfId="227" operator="lessThan" stopIfTrue="1">
      <formula>AP22-AP23</formula>
    </cfRule>
  </conditionalFormatting>
  <conditionalFormatting sqref="AP10">
    <cfRule type="cellIs" priority="2" dxfId="227" operator="lessThan" stopIfTrue="1">
      <formula>AP8+AP9</formula>
    </cfRule>
  </conditionalFormatting>
  <conditionalFormatting sqref="AP22">
    <cfRule type="cellIs" priority="3" dxfId="227" operator="lessThan" stopIfTrue="1">
      <formula>AP10+AP18+AP19+AP20-AP21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CW67"/>
  <sheetViews>
    <sheetView showGridLines="0" view="pageBreakPreview" zoomScale="85" zoomScaleNormal="83" zoomScaleSheetLayoutView="85" zoomScalePageLayoutView="0" workbookViewId="0" topLeftCell="C1">
      <selection activeCell="T8" sqref="T8"/>
    </sheetView>
  </sheetViews>
  <sheetFormatPr defaultColWidth="9.33203125" defaultRowHeight="12.75"/>
  <cols>
    <col min="1" max="1" width="7.83203125" style="198" hidden="1" customWidth="1"/>
    <col min="2" max="2" width="10" style="199" hidden="1" customWidth="1"/>
    <col min="3" max="3" width="11" style="211" customWidth="1"/>
    <col min="4" max="4" width="40" style="211" customWidth="1"/>
    <col min="5" max="5" width="10.16015625" style="211" customWidth="1"/>
    <col min="6" max="6" width="8"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0" customWidth="1"/>
    <col min="37" max="37" width="1.83203125" style="240" customWidth="1"/>
    <col min="38" max="38" width="7" style="240" customWidth="1"/>
    <col min="39" max="39" width="1.83203125" style="240"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83203125" style="209" customWidth="1"/>
    <col min="46" max="46" width="7.16015625" style="209" customWidth="1"/>
    <col min="47" max="47" width="40.5" style="209" customWidth="1"/>
    <col min="48" max="48" width="10.66015625" style="209" customWidth="1"/>
    <col min="49" max="49" width="9.33203125" style="209" customWidth="1"/>
    <col min="50" max="50" width="1.83203125" style="209" customWidth="1"/>
    <col min="51" max="51" width="9.33203125" style="209" customWidth="1"/>
    <col min="52" max="52" width="1.83203125" style="209" customWidth="1"/>
    <col min="53" max="53" width="9.33203125" style="209" customWidth="1"/>
    <col min="54" max="54" width="1.83203125" style="209" customWidth="1"/>
    <col min="55" max="55" width="9.33203125" style="209" customWidth="1"/>
    <col min="56" max="56" width="1.83203125" style="209" customWidth="1"/>
    <col min="57" max="57" width="9.33203125" style="209" customWidth="1"/>
    <col min="58" max="58" width="1.83203125" style="209" customWidth="1"/>
    <col min="59" max="59" width="9.33203125" style="209" customWidth="1"/>
    <col min="60" max="60" width="1.83203125" style="209" customWidth="1"/>
    <col min="61" max="61" width="9.33203125" style="209" customWidth="1"/>
    <col min="62" max="62" width="1.83203125" style="209" customWidth="1"/>
    <col min="63" max="63" width="9.33203125" style="209" customWidth="1"/>
    <col min="64" max="64" width="1.83203125" style="209" customWidth="1"/>
    <col min="65" max="65" width="9.33203125" style="209" customWidth="1"/>
    <col min="66" max="66" width="1.83203125" style="209" customWidth="1"/>
    <col min="67" max="67" width="9.33203125" style="209" customWidth="1"/>
    <col min="68" max="68" width="1.83203125" style="209" customWidth="1"/>
    <col min="69" max="69" width="9.33203125" style="209" customWidth="1"/>
    <col min="70" max="70" width="1.83203125" style="209" customWidth="1"/>
    <col min="71" max="71" width="9.33203125" style="209" customWidth="1"/>
    <col min="72" max="72" width="1.83203125" style="209" customWidth="1"/>
    <col min="73" max="73" width="9.33203125" style="209" customWidth="1"/>
    <col min="74" max="74" width="1.83203125" style="209" customWidth="1"/>
    <col min="75" max="75" width="9.33203125" style="209" customWidth="1"/>
    <col min="76" max="76" width="1.83203125" style="209" customWidth="1"/>
    <col min="77" max="77" width="9.33203125" style="209" customWidth="1"/>
    <col min="78" max="78" width="1.83203125" style="209" customWidth="1"/>
    <col min="79" max="79" width="9.33203125" style="209" customWidth="1"/>
    <col min="80" max="80" width="1.83203125" style="209" customWidth="1"/>
    <col min="81" max="81" width="9.33203125" style="209" customWidth="1"/>
    <col min="82" max="82" width="1.83203125" style="209" customWidth="1"/>
    <col min="83" max="83" width="9.33203125" style="209" customWidth="1"/>
    <col min="84" max="84" width="1.83203125" style="209" customWidth="1"/>
    <col min="85" max="85" width="9.33203125" style="209" customWidth="1"/>
    <col min="86" max="86" width="1.83203125" style="209" customWidth="1"/>
    <col min="87" max="16384" width="9.33203125" style="211" customWidth="1"/>
  </cols>
  <sheetData>
    <row r="1" spans="1:86" s="468" customFormat="1" ht="16.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630"/>
      <c r="AS1" s="233"/>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18" ht="6" customHeight="1">
      <c r="E2" s="363"/>
      <c r="F2" s="363"/>
      <c r="G2" s="363"/>
      <c r="H2" s="364"/>
      <c r="I2" s="365"/>
      <c r="J2" s="366"/>
      <c r="K2" s="365"/>
      <c r="L2" s="366"/>
      <c r="M2" s="365"/>
      <c r="N2" s="366"/>
      <c r="O2" s="365"/>
      <c r="P2" s="366"/>
      <c r="Q2" s="365"/>
      <c r="R2" s="367"/>
    </row>
    <row r="3" spans="1:89" s="384" customFormat="1" ht="17.25" customHeight="1">
      <c r="A3" s="307"/>
      <c r="B3" s="307"/>
      <c r="C3" s="368" t="s">
        <v>370</v>
      </c>
      <c r="D3" s="33"/>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469"/>
      <c r="AT3" s="375" t="s">
        <v>62</v>
      </c>
      <c r="AU3" s="470"/>
      <c r="AV3" s="470"/>
      <c r="AW3" s="382"/>
      <c r="AX3" s="471"/>
      <c r="AY3" s="382"/>
      <c r="AZ3" s="815"/>
      <c r="BA3" s="815"/>
      <c r="BB3" s="815"/>
      <c r="BC3" s="815"/>
      <c r="BD3" s="472"/>
      <c r="BE3" s="472"/>
      <c r="BF3" s="472"/>
      <c r="BG3" s="472"/>
      <c r="BH3" s="472"/>
      <c r="BI3" s="472"/>
      <c r="BJ3" s="473"/>
      <c r="BK3" s="382"/>
      <c r="BL3" s="382"/>
      <c r="BM3" s="382"/>
      <c r="BN3" s="382"/>
      <c r="BO3" s="382"/>
      <c r="BP3" s="382"/>
      <c r="BQ3" s="473"/>
      <c r="BR3" s="473"/>
      <c r="BS3" s="473"/>
      <c r="BT3" s="382"/>
      <c r="BU3" s="382"/>
      <c r="BV3" s="382"/>
      <c r="BW3" s="382"/>
      <c r="BX3" s="382"/>
      <c r="BY3" s="382"/>
      <c r="BZ3" s="382"/>
      <c r="CA3" s="382"/>
      <c r="CB3" s="382"/>
      <c r="CC3" s="382"/>
      <c r="CD3" s="382"/>
      <c r="CE3" s="382"/>
      <c r="CF3" s="382"/>
      <c r="CG3" s="382"/>
      <c r="CH3" s="382"/>
      <c r="CI3" s="383"/>
      <c r="CJ3" s="383"/>
      <c r="CK3" s="383"/>
    </row>
    <row r="4" spans="5:46" ht="5.25" customHeight="1">
      <c r="E4" s="385"/>
      <c r="F4" s="385"/>
      <c r="G4" s="385"/>
      <c r="S4" s="372"/>
      <c r="T4" s="367"/>
      <c r="AF4" s="364"/>
      <c r="AG4" s="365"/>
      <c r="AT4" s="348"/>
    </row>
    <row r="5" spans="1:86" s="468" customFormat="1" ht="17.25" customHeight="1">
      <c r="A5" s="467"/>
      <c r="B5" s="199">
        <v>17</v>
      </c>
      <c r="C5" s="806" t="s">
        <v>240</v>
      </c>
      <c r="D5" s="806"/>
      <c r="E5" s="816"/>
      <c r="F5" s="816"/>
      <c r="G5" s="816"/>
      <c r="H5" s="816"/>
      <c r="I5" s="808"/>
      <c r="J5" s="808"/>
      <c r="K5" s="808"/>
      <c r="L5" s="808"/>
      <c r="M5" s="808"/>
      <c r="N5" s="808"/>
      <c r="O5" s="808"/>
      <c r="P5" s="808"/>
      <c r="Q5" s="808"/>
      <c r="R5" s="816"/>
      <c r="S5" s="808"/>
      <c r="T5" s="816"/>
      <c r="U5" s="808"/>
      <c r="V5" s="816"/>
      <c r="W5" s="808"/>
      <c r="X5" s="816"/>
      <c r="Y5" s="808"/>
      <c r="Z5" s="816"/>
      <c r="AA5" s="808"/>
      <c r="AB5" s="816"/>
      <c r="AC5" s="808"/>
      <c r="AD5" s="808"/>
      <c r="AE5" s="808"/>
      <c r="AF5" s="816"/>
      <c r="AG5" s="808"/>
      <c r="AH5" s="816"/>
      <c r="AI5" s="386"/>
      <c r="AJ5" s="386"/>
      <c r="AK5" s="386"/>
      <c r="AL5" s="386"/>
      <c r="AM5" s="386"/>
      <c r="AN5" s="387"/>
      <c r="AO5" s="386"/>
      <c r="AP5" s="387"/>
      <c r="AQ5" s="386"/>
      <c r="AR5" s="474"/>
      <c r="AS5" s="233"/>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D6" s="391"/>
      <c r="AE6" s="392"/>
      <c r="AF6" s="391"/>
      <c r="AG6" s="239"/>
      <c r="AH6" s="391"/>
      <c r="AI6" s="394"/>
      <c r="AJ6" s="394"/>
      <c r="AK6" s="394"/>
      <c r="AL6" s="394"/>
      <c r="AM6" s="394"/>
      <c r="AN6" s="349"/>
      <c r="AO6" s="395" t="s">
        <v>617</v>
      </c>
      <c r="AP6" s="349"/>
      <c r="AQ6" s="395"/>
      <c r="AR6" s="349"/>
      <c r="AS6" s="477"/>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6" s="255" customFormat="1" ht="21.75" customHeight="1">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3"/>
      <c r="AJ7" s="253">
        <v>2009</v>
      </c>
      <c r="AK7" s="254"/>
      <c r="AL7" s="253">
        <v>2010</v>
      </c>
      <c r="AM7" s="254"/>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220" customFormat="1" ht="27" customHeight="1">
      <c r="A8" s="198"/>
      <c r="B8" s="259">
        <v>275</v>
      </c>
      <c r="C8" s="404">
        <v>1</v>
      </c>
      <c r="D8" s="278" t="s">
        <v>16</v>
      </c>
      <c r="E8" s="279" t="s">
        <v>372</v>
      </c>
      <c r="F8" s="650"/>
      <c r="G8" s="873"/>
      <c r="H8" s="650"/>
      <c r="I8" s="873"/>
      <c r="J8" s="650"/>
      <c r="K8" s="873"/>
      <c r="L8" s="650"/>
      <c r="M8" s="873"/>
      <c r="N8" s="650"/>
      <c r="O8" s="873"/>
      <c r="P8" s="650"/>
      <c r="Q8" s="873"/>
      <c r="R8" s="650"/>
      <c r="S8" s="873"/>
      <c r="T8" s="650"/>
      <c r="U8" s="873"/>
      <c r="V8" s="650"/>
      <c r="W8" s="873"/>
      <c r="X8" s="650"/>
      <c r="Y8" s="873"/>
      <c r="Z8" s="650"/>
      <c r="AA8" s="873"/>
      <c r="AB8" s="650"/>
      <c r="AC8" s="873"/>
      <c r="AD8" s="650"/>
      <c r="AE8" s="873"/>
      <c r="AF8" s="650"/>
      <c r="AG8" s="873"/>
      <c r="AH8" s="650"/>
      <c r="AI8" s="873"/>
      <c r="AJ8" s="650"/>
      <c r="AK8" s="873"/>
      <c r="AL8" s="650"/>
      <c r="AM8" s="873"/>
      <c r="AN8" s="650"/>
      <c r="AO8" s="873"/>
      <c r="AP8" s="650"/>
      <c r="AQ8" s="873"/>
      <c r="AS8" s="209"/>
      <c r="AT8" s="408">
        <v>1</v>
      </c>
      <c r="AU8" s="281" t="s">
        <v>16</v>
      </c>
      <c r="AV8" s="478" t="s">
        <v>360</v>
      </c>
      <c r="AW8" s="267" t="s">
        <v>99</v>
      </c>
      <c r="AX8" s="272"/>
      <c r="AY8" s="85" t="str">
        <f>IF(OR(ISBLANK(F8),ISBLANK(H8)),"N/A",IF(ABS((H8-F8)/F8)&gt;1,"&gt; 100%","ok"))</f>
        <v>N/A</v>
      </c>
      <c r="AZ8" s="272"/>
      <c r="BA8" s="88" t="str">
        <f>IF(OR(ISBLANK(H8),ISBLANK(J8)),"N/A",IF(ABS((J8-H8)/H8)&gt;0.25,"&gt; 25%","ok"))</f>
        <v>N/A</v>
      </c>
      <c r="BB8" s="88"/>
      <c r="BC8" s="88" t="str">
        <f aca="true" t="shared" si="0" ref="BC8:BC16">IF(OR(ISBLANK(J8),ISBLANK(L8)),"N/A",IF(ABS((L8-J8)/J8)&gt;0.25,"&gt; 25%","ok"))</f>
        <v>N/A</v>
      </c>
      <c r="BD8" s="88"/>
      <c r="BE8" s="88" t="str">
        <f aca="true" t="shared" si="1" ref="BE8:BE16">IF(OR(ISBLANK(L8),ISBLANK(N8)),"N/A",IF(ABS((N8-L8)/L8)&gt;0.25,"&gt; 25%","ok"))</f>
        <v>N/A</v>
      </c>
      <c r="BF8" s="88"/>
      <c r="BG8" s="88" t="str">
        <f aca="true" t="shared" si="2" ref="BG8:BG16">IF(OR(ISBLANK(N8),ISBLANK(P8)),"N/A",IF(ABS((P8-N8)/N8)&gt;0.25,"&gt; 25%","ok"))</f>
        <v>N/A</v>
      </c>
      <c r="BH8" s="88"/>
      <c r="BI8" s="88" t="str">
        <f aca="true" t="shared" si="3" ref="BI8:BI16">IF(OR(ISBLANK(P8),ISBLANK(R8)),"N/A",IF(ABS((R8-P8)/P8)&gt;0.25,"&gt; 25%","ok"))</f>
        <v>N/A</v>
      </c>
      <c r="BJ8" s="88"/>
      <c r="BK8" s="88" t="str">
        <f aca="true" t="shared" si="4" ref="BK8:BK16">IF(OR(ISBLANK(R8),ISBLANK(T8)),"N/A",IF(ABS((T8-R8)/R8)&gt;0.25,"&gt; 25%","ok"))</f>
        <v>N/A</v>
      </c>
      <c r="BL8" s="88"/>
      <c r="BM8" s="88" t="str">
        <f aca="true" t="shared" si="5" ref="BM8:BM16">IF(OR(ISBLANK(T8),ISBLANK(V8)),"N/A",IF(ABS((V8-T8)/T8)&gt;0.25,"&gt; 25%","ok"))</f>
        <v>N/A</v>
      </c>
      <c r="BN8" s="88"/>
      <c r="BO8" s="88" t="str">
        <f aca="true" t="shared" si="6" ref="BO8:BO16">IF(OR(ISBLANK(V8),ISBLANK(X8)),"N/A",IF(ABS((X8-V8)/V8)&gt;0.25,"&gt; 25%","ok"))</f>
        <v>N/A</v>
      </c>
      <c r="BP8" s="88"/>
      <c r="BQ8" s="88" t="str">
        <f aca="true" t="shared" si="7" ref="BQ8:BQ16">IF(OR(ISBLANK(X8),ISBLANK(Z8)),"N/A",IF(ABS((Z8-X8)/X8)&gt;0.25,"&gt; 25%","ok"))</f>
        <v>N/A</v>
      </c>
      <c r="BR8" s="88"/>
      <c r="BS8" s="88" t="str">
        <f aca="true" t="shared" si="8" ref="BS8:BS16">IF(OR(ISBLANK(Z8),ISBLANK(AB8)),"N/A",IF(ABS((AB8-Z8)/Z8)&gt;0.25,"&gt; 25%","ok"))</f>
        <v>N/A</v>
      </c>
      <c r="BT8" s="88"/>
      <c r="BU8" s="88" t="str">
        <f aca="true" t="shared" si="9" ref="BU8:BU16">IF(OR(ISBLANK(AB8),ISBLANK(AD8)),"N/A",IF(ABS((AD8-AB8)/AB8)&gt;0.25,"&gt; 25%","ok"))</f>
        <v>N/A</v>
      </c>
      <c r="BV8" s="88"/>
      <c r="BW8" s="88" t="str">
        <f aca="true" t="shared" si="10" ref="BW8:BW16">IF(OR(ISBLANK(AD8),ISBLANK(AF8)),"N/A",IF(ABS((AF8-AD8)/AD8)&gt;0.25,"&gt; 25%","ok"))</f>
        <v>N/A</v>
      </c>
      <c r="BX8" s="88"/>
      <c r="BY8" s="88" t="str">
        <f aca="true" t="shared" si="11" ref="BY8:BY16">IF(OR(ISBLANK(AF8),ISBLANK(AH8)),"N/A",IF(ABS((AH8-AF8)/AF8)&gt;0.25,"&gt; 25%","ok"))</f>
        <v>N/A</v>
      </c>
      <c r="BZ8" s="88"/>
      <c r="CA8" s="88" t="str">
        <f>IF(OR(ISBLANK(AH8),ISBLANK(AJ8)),"N/A",IF(ABS((AJ8-AH8)/AH8)&gt;0.25,"&gt; 25%","ok"))</f>
        <v>N/A</v>
      </c>
      <c r="CB8" s="88"/>
      <c r="CC8" s="88" t="str">
        <f>IF(OR(ISBLANK(AJ8),ISBLANK(AL8)),"N/A",IF(ABS((AL8-AJ8)/AJ8)&gt;0.25,"&gt; 25%","ok"))</f>
        <v>N/A</v>
      </c>
      <c r="CD8" s="88"/>
      <c r="CE8" s="88" t="str">
        <f>IF(OR(ISBLANK(AL8),ISBLANK(AN8)),"N/A",IF(ABS((AN8-AL8)/AL8)&gt;0.25,"&gt; 25%","ok"))</f>
        <v>N/A</v>
      </c>
      <c r="CF8" s="88"/>
      <c r="CG8" s="88" t="str">
        <f>IF(OR(ISBLANK(AN8),ISBLANK(AP8)),"N/A",IF(ABS((AP8-AN8)/AN8)&gt;0.25,"&gt; 25%","ok"))</f>
        <v>N/A</v>
      </c>
      <c r="CH8" s="88"/>
    </row>
    <row r="9" spans="1:86" s="220" customFormat="1" ht="15" customHeight="1">
      <c r="A9" s="198"/>
      <c r="B9" s="259">
        <v>2416</v>
      </c>
      <c r="C9" s="279">
        <v>2</v>
      </c>
      <c r="D9" s="276" t="s">
        <v>17</v>
      </c>
      <c r="E9" s="279" t="s">
        <v>372</v>
      </c>
      <c r="F9" s="640"/>
      <c r="G9" s="873"/>
      <c r="H9" s="640"/>
      <c r="I9" s="873"/>
      <c r="J9" s="640"/>
      <c r="K9" s="873"/>
      <c r="L9" s="640"/>
      <c r="M9" s="873"/>
      <c r="N9" s="640"/>
      <c r="O9" s="873"/>
      <c r="P9" s="640"/>
      <c r="Q9" s="873"/>
      <c r="R9" s="640"/>
      <c r="S9" s="873"/>
      <c r="T9" s="640"/>
      <c r="U9" s="873"/>
      <c r="V9" s="640"/>
      <c r="W9" s="873"/>
      <c r="X9" s="640"/>
      <c r="Y9" s="873"/>
      <c r="Z9" s="640"/>
      <c r="AA9" s="873"/>
      <c r="AB9" s="640"/>
      <c r="AC9" s="873"/>
      <c r="AD9" s="640"/>
      <c r="AE9" s="873"/>
      <c r="AF9" s="640"/>
      <c r="AG9" s="873"/>
      <c r="AH9" s="640"/>
      <c r="AI9" s="873"/>
      <c r="AJ9" s="640"/>
      <c r="AK9" s="873"/>
      <c r="AL9" s="640"/>
      <c r="AM9" s="873"/>
      <c r="AN9" s="640"/>
      <c r="AO9" s="873"/>
      <c r="AP9" s="640"/>
      <c r="AQ9" s="873"/>
      <c r="AS9" s="209"/>
      <c r="AT9" s="87">
        <v>2</v>
      </c>
      <c r="AU9" s="271" t="s">
        <v>17</v>
      </c>
      <c r="AV9" s="87" t="s">
        <v>372</v>
      </c>
      <c r="AW9" s="87" t="s">
        <v>99</v>
      </c>
      <c r="AX9" s="272"/>
      <c r="AY9" s="85" t="str">
        <f aca="true" t="shared" si="12" ref="AY9:AY16">IF(OR(ISBLANK(F9),ISBLANK(H9)),"N/A",IF(ABS((H9-F9)/F9)&gt;1,"&gt; 100%","ok"))</f>
        <v>N/A</v>
      </c>
      <c r="AZ9" s="272"/>
      <c r="BA9" s="88" t="str">
        <f aca="true" t="shared" si="13" ref="BA9:BA16">IF(OR(ISBLANK(H9),ISBLANK(J9)),"N/A",IF(ABS((J9-H9)/H9)&gt;0.25,"&gt; 25%","ok"))</f>
        <v>N/A</v>
      </c>
      <c r="BB9" s="88"/>
      <c r="BC9" s="88" t="str">
        <f t="shared" si="0"/>
        <v>N/A</v>
      </c>
      <c r="BD9" s="88"/>
      <c r="BE9" s="88" t="str">
        <f t="shared" si="1"/>
        <v>N/A</v>
      </c>
      <c r="BF9" s="88"/>
      <c r="BG9" s="88" t="str">
        <f t="shared" si="2"/>
        <v>N/A</v>
      </c>
      <c r="BH9" s="88"/>
      <c r="BI9" s="88" t="str">
        <f t="shared" si="3"/>
        <v>N/A</v>
      </c>
      <c r="BJ9" s="88"/>
      <c r="BK9" s="88" t="str">
        <f t="shared" si="4"/>
        <v>N/A</v>
      </c>
      <c r="BL9" s="88"/>
      <c r="BM9" s="88" t="str">
        <f t="shared" si="5"/>
        <v>N/A</v>
      </c>
      <c r="BN9" s="88"/>
      <c r="BO9" s="88" t="str">
        <f t="shared" si="6"/>
        <v>N/A</v>
      </c>
      <c r="BP9" s="88"/>
      <c r="BQ9" s="88" t="str">
        <f t="shared" si="7"/>
        <v>N/A</v>
      </c>
      <c r="BR9" s="88"/>
      <c r="BS9" s="88" t="str">
        <f t="shared" si="8"/>
        <v>N/A</v>
      </c>
      <c r="BT9" s="88"/>
      <c r="BU9" s="88" t="str">
        <f t="shared" si="9"/>
        <v>N/A</v>
      </c>
      <c r="BV9" s="88"/>
      <c r="BW9" s="88" t="str">
        <f t="shared" si="10"/>
        <v>N/A</v>
      </c>
      <c r="BX9" s="88"/>
      <c r="BY9" s="88" t="str">
        <f t="shared" si="11"/>
        <v>N/A</v>
      </c>
      <c r="BZ9" s="88"/>
      <c r="CA9" s="88" t="str">
        <f aca="true" t="shared" si="14" ref="CA9:CA20">IF(OR(ISBLANK(AH9),ISBLANK(AJ9)),"N/A",IF(ABS((AJ9-AH9)/AH9)&gt;0.25,"&gt; 25%","ok"))</f>
        <v>N/A</v>
      </c>
      <c r="CB9" s="88"/>
      <c r="CC9" s="88" t="str">
        <f>IF(OR(ISBLANK(AJ9),ISBLANK(AL9)),"N/A",IF(ABS((AL9-AJ9)/AJ9)&gt;0.25,"&gt; 25%","ok"))</f>
        <v>N/A</v>
      </c>
      <c r="CD9" s="88"/>
      <c r="CE9" s="88" t="str">
        <f>IF(OR(ISBLANK(AL9),ISBLANK(AN9)),"N/A",IF(ABS((AN9-AL9)/AL9)&gt;0.25,"&gt; 25%","ok"))</f>
        <v>N/A</v>
      </c>
      <c r="CF9" s="88"/>
      <c r="CG9" s="88" t="str">
        <f aca="true" t="shared" si="15" ref="CG9:CG20">IF(OR(ISBLANK(AN9),ISBLANK(AP9)),"N/A",IF(ABS((AP9-AN9)/AN9)&gt;0.25,"&gt; 25%","ok"))</f>
        <v>N/A</v>
      </c>
      <c r="CH9" s="88"/>
    </row>
    <row r="10" spans="1:86" s="480" customFormat="1" ht="35.25" customHeight="1">
      <c r="A10" s="479" t="s">
        <v>79</v>
      </c>
      <c r="B10" s="259">
        <v>29</v>
      </c>
      <c r="C10" s="404">
        <v>3</v>
      </c>
      <c r="D10" s="278" t="s">
        <v>61</v>
      </c>
      <c r="E10" s="279" t="s">
        <v>372</v>
      </c>
      <c r="F10" s="640"/>
      <c r="G10" s="873"/>
      <c r="H10" s="640"/>
      <c r="I10" s="873"/>
      <c r="J10" s="640"/>
      <c r="K10" s="873"/>
      <c r="L10" s="640"/>
      <c r="M10" s="873"/>
      <c r="N10" s="640"/>
      <c r="O10" s="873"/>
      <c r="P10" s="640"/>
      <c r="Q10" s="873"/>
      <c r="R10" s="640"/>
      <c r="S10" s="873"/>
      <c r="T10" s="640"/>
      <c r="U10" s="873"/>
      <c r="V10" s="640"/>
      <c r="W10" s="873"/>
      <c r="X10" s="640"/>
      <c r="Y10" s="873"/>
      <c r="Z10" s="640"/>
      <c r="AA10" s="873"/>
      <c r="AB10" s="640"/>
      <c r="AC10" s="873"/>
      <c r="AD10" s="640"/>
      <c r="AE10" s="873"/>
      <c r="AF10" s="640"/>
      <c r="AG10" s="873"/>
      <c r="AH10" s="640"/>
      <c r="AI10" s="873"/>
      <c r="AJ10" s="640"/>
      <c r="AK10" s="873"/>
      <c r="AL10" s="640"/>
      <c r="AM10" s="873"/>
      <c r="AN10" s="640"/>
      <c r="AO10" s="873"/>
      <c r="AP10" s="640"/>
      <c r="AQ10" s="873"/>
      <c r="AS10" s="481"/>
      <c r="AT10" s="408">
        <v>3</v>
      </c>
      <c r="AU10" s="281" t="s">
        <v>18</v>
      </c>
      <c r="AV10" s="408" t="s">
        <v>360</v>
      </c>
      <c r="AW10" s="87" t="s">
        <v>99</v>
      </c>
      <c r="AX10" s="272"/>
      <c r="AY10" s="88" t="str">
        <f t="shared" si="12"/>
        <v>N/A</v>
      </c>
      <c r="AZ10" s="272"/>
      <c r="BA10" s="88" t="str">
        <f t="shared" si="13"/>
        <v>N/A</v>
      </c>
      <c r="BB10" s="88"/>
      <c r="BC10" s="88" t="str">
        <f t="shared" si="0"/>
        <v>N/A</v>
      </c>
      <c r="BD10" s="88"/>
      <c r="BE10" s="88" t="str">
        <f t="shared" si="1"/>
        <v>N/A</v>
      </c>
      <c r="BF10" s="88"/>
      <c r="BG10" s="88" t="str">
        <f t="shared" si="2"/>
        <v>N/A</v>
      </c>
      <c r="BH10" s="88"/>
      <c r="BI10" s="88" t="str">
        <f t="shared" si="3"/>
        <v>N/A</v>
      </c>
      <c r="BJ10" s="88"/>
      <c r="BK10" s="88" t="str">
        <f t="shared" si="4"/>
        <v>N/A</v>
      </c>
      <c r="BL10" s="88"/>
      <c r="BM10" s="88" t="str">
        <f t="shared" si="5"/>
        <v>N/A</v>
      </c>
      <c r="BN10" s="88"/>
      <c r="BO10" s="88" t="str">
        <f t="shared" si="6"/>
        <v>N/A</v>
      </c>
      <c r="BP10" s="88"/>
      <c r="BQ10" s="88" t="str">
        <f t="shared" si="7"/>
        <v>N/A</v>
      </c>
      <c r="BR10" s="88"/>
      <c r="BS10" s="88" t="str">
        <f t="shared" si="8"/>
        <v>N/A</v>
      </c>
      <c r="BT10" s="88"/>
      <c r="BU10" s="88" t="str">
        <f t="shared" si="9"/>
        <v>N/A</v>
      </c>
      <c r="BV10" s="88"/>
      <c r="BW10" s="88" t="str">
        <f t="shared" si="10"/>
        <v>N/A</v>
      </c>
      <c r="BX10" s="88"/>
      <c r="BY10" s="88" t="str">
        <f t="shared" si="11"/>
        <v>N/A</v>
      </c>
      <c r="BZ10" s="88"/>
      <c r="CA10" s="88" t="str">
        <f t="shared" si="14"/>
        <v>N/A</v>
      </c>
      <c r="CB10" s="88"/>
      <c r="CC10" s="88" t="str">
        <f>IF(OR(ISBLANK(AJ10),ISBLANK(AL10)),"N/A",IF(ABS((AL10-AJ10)/AJ10)&gt;0.25,"&gt; 25%","ok"))</f>
        <v>N/A</v>
      </c>
      <c r="CD10" s="88"/>
      <c r="CE10" s="88" t="str">
        <f>IF(OR(ISBLANK(AL10),ISBLANK(AN10)),"N/A",IF(ABS((AN10-AL10)/AL10)&gt;0.25,"&gt; 25%","ok"))</f>
        <v>N/A</v>
      </c>
      <c r="CF10" s="88"/>
      <c r="CG10" s="88" t="str">
        <f t="shared" si="15"/>
        <v>N/A</v>
      </c>
      <c r="CH10" s="88"/>
    </row>
    <row r="11" spans="1:86" s="480" customFormat="1" ht="15" customHeight="1">
      <c r="A11" s="482"/>
      <c r="B11" s="259">
        <v>5008</v>
      </c>
      <c r="C11" s="483"/>
      <c r="D11" s="484" t="s">
        <v>19</v>
      </c>
      <c r="E11" s="404"/>
      <c r="F11" s="646"/>
      <c r="G11" s="876"/>
      <c r="H11" s="646"/>
      <c r="I11" s="876"/>
      <c r="J11" s="646"/>
      <c r="K11" s="876"/>
      <c r="L11" s="646"/>
      <c r="M11" s="876"/>
      <c r="N11" s="646"/>
      <c r="O11" s="876"/>
      <c r="P11" s="646"/>
      <c r="Q11" s="876"/>
      <c r="R11" s="646"/>
      <c r="S11" s="876"/>
      <c r="T11" s="646"/>
      <c r="U11" s="876"/>
      <c r="V11" s="646"/>
      <c r="W11" s="876"/>
      <c r="X11" s="646"/>
      <c r="Y11" s="876"/>
      <c r="Z11" s="646"/>
      <c r="AA11" s="876"/>
      <c r="AB11" s="646"/>
      <c r="AC11" s="876"/>
      <c r="AD11" s="646"/>
      <c r="AE11" s="876"/>
      <c r="AF11" s="646"/>
      <c r="AG11" s="876"/>
      <c r="AH11" s="646"/>
      <c r="AI11" s="876"/>
      <c r="AJ11" s="646"/>
      <c r="AK11" s="876"/>
      <c r="AL11" s="646"/>
      <c r="AM11" s="876"/>
      <c r="AN11" s="646"/>
      <c r="AO11" s="876"/>
      <c r="AP11" s="646"/>
      <c r="AQ11" s="876"/>
      <c r="AS11" s="481"/>
      <c r="AT11" s="430"/>
      <c r="AU11" s="428" t="s">
        <v>19</v>
      </c>
      <c r="AV11" s="408"/>
      <c r="AW11" s="105"/>
      <c r="AX11" s="268"/>
      <c r="AY11" s="85"/>
      <c r="AZ11" s="26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row>
    <row r="12" spans="1:86" s="486" customFormat="1" ht="15" customHeight="1">
      <c r="A12" s="250"/>
      <c r="B12" s="259">
        <v>38</v>
      </c>
      <c r="C12" s="262">
        <v>4</v>
      </c>
      <c r="D12" s="485" t="s">
        <v>390</v>
      </c>
      <c r="E12" s="269" t="s">
        <v>372</v>
      </c>
      <c r="F12" s="638"/>
      <c r="G12" s="871"/>
      <c r="H12" s="638"/>
      <c r="I12" s="871"/>
      <c r="J12" s="638"/>
      <c r="K12" s="871"/>
      <c r="L12" s="638"/>
      <c r="M12" s="871"/>
      <c r="N12" s="638"/>
      <c r="O12" s="871"/>
      <c r="P12" s="638"/>
      <c r="Q12" s="871"/>
      <c r="R12" s="638"/>
      <c r="S12" s="871"/>
      <c r="T12" s="638"/>
      <c r="U12" s="871"/>
      <c r="V12" s="638"/>
      <c r="W12" s="871"/>
      <c r="X12" s="638"/>
      <c r="Y12" s="871"/>
      <c r="Z12" s="638"/>
      <c r="AA12" s="871"/>
      <c r="AB12" s="638"/>
      <c r="AC12" s="871"/>
      <c r="AD12" s="638"/>
      <c r="AE12" s="871"/>
      <c r="AF12" s="638"/>
      <c r="AG12" s="871"/>
      <c r="AH12" s="638"/>
      <c r="AI12" s="871"/>
      <c r="AJ12" s="638"/>
      <c r="AK12" s="871"/>
      <c r="AL12" s="638"/>
      <c r="AM12" s="871"/>
      <c r="AN12" s="638"/>
      <c r="AO12" s="871"/>
      <c r="AP12" s="638"/>
      <c r="AQ12" s="871"/>
      <c r="AS12" s="487"/>
      <c r="AT12" s="105">
        <v>4</v>
      </c>
      <c r="AU12" s="488" t="s">
        <v>390</v>
      </c>
      <c r="AV12" s="87" t="s">
        <v>372</v>
      </c>
      <c r="AW12" s="85" t="s">
        <v>99</v>
      </c>
      <c r="AX12" s="268"/>
      <c r="AY12" s="85" t="str">
        <f t="shared" si="12"/>
        <v>N/A</v>
      </c>
      <c r="AZ12" s="268"/>
      <c r="BA12" s="88" t="str">
        <f t="shared" si="13"/>
        <v>N/A</v>
      </c>
      <c r="BB12" s="88"/>
      <c r="BC12" s="88" t="str">
        <f t="shared" si="0"/>
        <v>N/A</v>
      </c>
      <c r="BD12" s="88"/>
      <c r="BE12" s="88" t="str">
        <f t="shared" si="1"/>
        <v>N/A</v>
      </c>
      <c r="BF12" s="88"/>
      <c r="BG12" s="88" t="str">
        <f t="shared" si="2"/>
        <v>N/A</v>
      </c>
      <c r="BH12" s="88"/>
      <c r="BI12" s="88" t="str">
        <f t="shared" si="3"/>
        <v>N/A</v>
      </c>
      <c r="BJ12" s="88"/>
      <c r="BK12" s="88" t="str">
        <f t="shared" si="4"/>
        <v>N/A</v>
      </c>
      <c r="BL12" s="88"/>
      <c r="BM12" s="88" t="str">
        <f t="shared" si="5"/>
        <v>N/A</v>
      </c>
      <c r="BN12" s="88"/>
      <c r="BO12" s="88" t="str">
        <f t="shared" si="6"/>
        <v>N/A</v>
      </c>
      <c r="BP12" s="88"/>
      <c r="BQ12" s="88" t="str">
        <f t="shared" si="7"/>
        <v>N/A</v>
      </c>
      <c r="BR12" s="88"/>
      <c r="BS12" s="88" t="str">
        <f t="shared" si="8"/>
        <v>N/A</v>
      </c>
      <c r="BT12" s="88"/>
      <c r="BU12" s="88" t="str">
        <f t="shared" si="9"/>
        <v>N/A</v>
      </c>
      <c r="BV12" s="88"/>
      <c r="BW12" s="88" t="str">
        <f t="shared" si="10"/>
        <v>N/A</v>
      </c>
      <c r="BX12" s="88"/>
      <c r="BY12" s="88" t="str">
        <f t="shared" si="11"/>
        <v>N/A</v>
      </c>
      <c r="BZ12" s="88"/>
      <c r="CA12" s="88" t="str">
        <f t="shared" si="14"/>
        <v>N/A</v>
      </c>
      <c r="CB12" s="88"/>
      <c r="CC12" s="88" t="str">
        <f>IF(OR(ISBLANK(AJ12),ISBLANK(AL12)),"N/A",IF(ABS((AL12-AJ12)/AJ12)&gt;0.25,"&gt; 25%","ok"))</f>
        <v>N/A</v>
      </c>
      <c r="CD12" s="88"/>
      <c r="CE12" s="88" t="str">
        <f>IF(OR(ISBLANK(AL12),ISBLANK(AN12)),"N/A",IF(ABS((AN12-AL12)/AL12)&gt;0.25,"&gt; 25%","ok"))</f>
        <v>N/A</v>
      </c>
      <c r="CF12" s="88"/>
      <c r="CG12" s="88" t="str">
        <f t="shared" si="15"/>
        <v>N/A</v>
      </c>
      <c r="CH12" s="88"/>
    </row>
    <row r="13" spans="2:86" ht="15" customHeight="1">
      <c r="B13" s="259">
        <v>81</v>
      </c>
      <c r="C13" s="279">
        <v>5</v>
      </c>
      <c r="D13" s="489" t="s">
        <v>139</v>
      </c>
      <c r="E13" s="269" t="s">
        <v>372</v>
      </c>
      <c r="F13" s="641"/>
      <c r="G13" s="872"/>
      <c r="H13" s="641"/>
      <c r="I13" s="872"/>
      <c r="J13" s="641"/>
      <c r="K13" s="872"/>
      <c r="L13" s="641"/>
      <c r="M13" s="872"/>
      <c r="N13" s="641"/>
      <c r="O13" s="872"/>
      <c r="P13" s="641"/>
      <c r="Q13" s="872"/>
      <c r="R13" s="641"/>
      <c r="S13" s="872"/>
      <c r="T13" s="641"/>
      <c r="U13" s="872"/>
      <c r="V13" s="641"/>
      <c r="W13" s="872"/>
      <c r="X13" s="641"/>
      <c r="Y13" s="872"/>
      <c r="Z13" s="641"/>
      <c r="AA13" s="872"/>
      <c r="AB13" s="641"/>
      <c r="AC13" s="872"/>
      <c r="AD13" s="641"/>
      <c r="AE13" s="872"/>
      <c r="AF13" s="641"/>
      <c r="AG13" s="872"/>
      <c r="AH13" s="641"/>
      <c r="AI13" s="872"/>
      <c r="AJ13" s="641"/>
      <c r="AK13" s="872"/>
      <c r="AL13" s="641"/>
      <c r="AM13" s="872"/>
      <c r="AN13" s="641"/>
      <c r="AO13" s="872"/>
      <c r="AP13" s="641"/>
      <c r="AQ13" s="872"/>
      <c r="AT13" s="87">
        <v>5</v>
      </c>
      <c r="AU13" s="490" t="s">
        <v>613</v>
      </c>
      <c r="AV13" s="87" t="s">
        <v>372</v>
      </c>
      <c r="AW13" s="87" t="s">
        <v>99</v>
      </c>
      <c r="AX13" s="272"/>
      <c r="AY13" s="85" t="str">
        <f t="shared" si="12"/>
        <v>N/A</v>
      </c>
      <c r="AZ13" s="272"/>
      <c r="BA13" s="88" t="str">
        <f t="shared" si="13"/>
        <v>N/A</v>
      </c>
      <c r="BB13" s="88"/>
      <c r="BC13" s="88" t="str">
        <f t="shared" si="0"/>
        <v>N/A</v>
      </c>
      <c r="BD13" s="88"/>
      <c r="BE13" s="88" t="str">
        <f t="shared" si="1"/>
        <v>N/A</v>
      </c>
      <c r="BF13" s="88"/>
      <c r="BG13" s="88" t="str">
        <f t="shared" si="2"/>
        <v>N/A</v>
      </c>
      <c r="BH13" s="88"/>
      <c r="BI13" s="88" t="str">
        <f t="shared" si="3"/>
        <v>N/A</v>
      </c>
      <c r="BJ13" s="88"/>
      <c r="BK13" s="88" t="str">
        <f t="shared" si="4"/>
        <v>N/A</v>
      </c>
      <c r="BL13" s="88"/>
      <c r="BM13" s="88" t="str">
        <f t="shared" si="5"/>
        <v>N/A</v>
      </c>
      <c r="BN13" s="88"/>
      <c r="BO13" s="88" t="str">
        <f t="shared" si="6"/>
        <v>N/A</v>
      </c>
      <c r="BP13" s="88"/>
      <c r="BQ13" s="88" t="str">
        <f t="shared" si="7"/>
        <v>N/A</v>
      </c>
      <c r="BR13" s="88"/>
      <c r="BS13" s="88" t="str">
        <f t="shared" si="8"/>
        <v>N/A</v>
      </c>
      <c r="BT13" s="88"/>
      <c r="BU13" s="88" t="str">
        <f t="shared" si="9"/>
        <v>N/A</v>
      </c>
      <c r="BV13" s="88"/>
      <c r="BW13" s="88" t="str">
        <f t="shared" si="10"/>
        <v>N/A</v>
      </c>
      <c r="BX13" s="88"/>
      <c r="BY13" s="88" t="str">
        <f t="shared" si="11"/>
        <v>N/A</v>
      </c>
      <c r="BZ13" s="88"/>
      <c r="CA13" s="88" t="str">
        <f t="shared" si="14"/>
        <v>N/A</v>
      </c>
      <c r="CB13" s="88"/>
      <c r="CC13" s="88" t="str">
        <f>IF(OR(ISBLANK(AJ13),ISBLANK(AL13)),"N/A",IF(ABS((AL13-AJ13)/AJ13)&gt;0.25,"&gt; 25%","ok"))</f>
        <v>N/A</v>
      </c>
      <c r="CD13" s="88"/>
      <c r="CE13" s="88" t="str">
        <f>IF(OR(ISBLANK(AL13),ISBLANK(AN13)),"N/A",IF(ABS((AN13-AL13)/AL13)&gt;0.25,"&gt; 25%","ok"))</f>
        <v>N/A</v>
      </c>
      <c r="CF13" s="88"/>
      <c r="CG13" s="88" t="str">
        <f t="shared" si="15"/>
        <v>N/A</v>
      </c>
      <c r="CH13" s="88"/>
    </row>
    <row r="14" spans="2:86" ht="15" customHeight="1">
      <c r="B14" s="259">
        <v>33</v>
      </c>
      <c r="C14" s="279">
        <v>6</v>
      </c>
      <c r="D14" s="489" t="s">
        <v>614</v>
      </c>
      <c r="E14" s="269" t="s">
        <v>372</v>
      </c>
      <c r="F14" s="641"/>
      <c r="G14" s="872"/>
      <c r="H14" s="641"/>
      <c r="I14" s="872"/>
      <c r="J14" s="641"/>
      <c r="K14" s="872"/>
      <c r="L14" s="641"/>
      <c r="M14" s="872"/>
      <c r="N14" s="641"/>
      <c r="O14" s="872"/>
      <c r="P14" s="641"/>
      <c r="Q14" s="872"/>
      <c r="R14" s="641"/>
      <c r="S14" s="872"/>
      <c r="T14" s="641"/>
      <c r="U14" s="872"/>
      <c r="V14" s="641"/>
      <c r="W14" s="872"/>
      <c r="X14" s="641"/>
      <c r="Y14" s="872"/>
      <c r="Z14" s="641"/>
      <c r="AA14" s="872"/>
      <c r="AB14" s="641"/>
      <c r="AC14" s="872"/>
      <c r="AD14" s="641"/>
      <c r="AE14" s="872"/>
      <c r="AF14" s="641"/>
      <c r="AG14" s="872"/>
      <c r="AH14" s="641"/>
      <c r="AI14" s="872"/>
      <c r="AJ14" s="641"/>
      <c r="AK14" s="872"/>
      <c r="AL14" s="641"/>
      <c r="AM14" s="872"/>
      <c r="AN14" s="641"/>
      <c r="AO14" s="872"/>
      <c r="AP14" s="641"/>
      <c r="AQ14" s="872"/>
      <c r="AT14" s="105">
        <v>6</v>
      </c>
      <c r="AU14" s="490" t="s">
        <v>614</v>
      </c>
      <c r="AV14" s="87" t="s">
        <v>372</v>
      </c>
      <c r="AW14" s="87" t="s">
        <v>99</v>
      </c>
      <c r="AX14" s="272"/>
      <c r="AY14" s="85" t="str">
        <f>IF(OR(ISBLANK(F14),ISBLANK(H14)),"N/A",IF(ABS((H14-F14)/F14)&gt;1,"&gt; 100%","ok"))</f>
        <v>N/A</v>
      </c>
      <c r="AZ14" s="272"/>
      <c r="BA14" s="88" t="str">
        <f t="shared" si="13"/>
        <v>N/A</v>
      </c>
      <c r="BB14" s="88"/>
      <c r="BC14" s="88" t="str">
        <f t="shared" si="0"/>
        <v>N/A</v>
      </c>
      <c r="BD14" s="88"/>
      <c r="BE14" s="88" t="str">
        <f t="shared" si="1"/>
        <v>N/A</v>
      </c>
      <c r="BF14" s="88"/>
      <c r="BG14" s="88" t="str">
        <f t="shared" si="2"/>
        <v>N/A</v>
      </c>
      <c r="BH14" s="88"/>
      <c r="BI14" s="88" t="str">
        <f t="shared" si="3"/>
        <v>N/A</v>
      </c>
      <c r="BJ14" s="88"/>
      <c r="BK14" s="88" t="str">
        <f t="shared" si="4"/>
        <v>N/A</v>
      </c>
      <c r="BL14" s="88"/>
      <c r="BM14" s="88" t="str">
        <f t="shared" si="5"/>
        <v>N/A</v>
      </c>
      <c r="BN14" s="88"/>
      <c r="BO14" s="88" t="str">
        <f t="shared" si="6"/>
        <v>N/A</v>
      </c>
      <c r="BP14" s="88"/>
      <c r="BQ14" s="88" t="str">
        <f t="shared" si="7"/>
        <v>N/A</v>
      </c>
      <c r="BR14" s="88"/>
      <c r="BS14" s="88" t="str">
        <f t="shared" si="8"/>
        <v>N/A</v>
      </c>
      <c r="BT14" s="88"/>
      <c r="BU14" s="88" t="str">
        <f t="shared" si="9"/>
        <v>N/A</v>
      </c>
      <c r="BV14" s="88"/>
      <c r="BW14" s="88" t="str">
        <f t="shared" si="10"/>
        <v>N/A</v>
      </c>
      <c r="BX14" s="88"/>
      <c r="BY14" s="88" t="str">
        <f t="shared" si="11"/>
        <v>N/A</v>
      </c>
      <c r="BZ14" s="88"/>
      <c r="CA14" s="88" t="str">
        <f t="shared" si="14"/>
        <v>N/A</v>
      </c>
      <c r="CB14" s="88"/>
      <c r="CC14" s="88" t="str">
        <f>IF(OR(ISBLANK(AJ14),ISBLANK(AL14)),"N/A",IF(ABS((AL14-AJ14)/AJ14)&gt;0.25,"&gt; 25%","ok"))</f>
        <v>N/A</v>
      </c>
      <c r="CD14" s="88"/>
      <c r="CE14" s="88" t="str">
        <f>IF(OR(ISBLANK(AL14),ISBLANK(AN14)),"N/A",IF(ABS((AN14-AL14)/AL14)&gt;0.25,"&gt; 25%","ok"))</f>
        <v>N/A</v>
      </c>
      <c r="CF14" s="88"/>
      <c r="CG14" s="88" t="str">
        <f t="shared" si="15"/>
        <v>N/A</v>
      </c>
      <c r="CH14" s="88"/>
    </row>
    <row r="15" spans="2:86" ht="15" customHeight="1">
      <c r="B15" s="259">
        <v>82</v>
      </c>
      <c r="C15" s="262">
        <v>7</v>
      </c>
      <c r="D15" s="485" t="s">
        <v>204</v>
      </c>
      <c r="E15" s="269" t="s">
        <v>372</v>
      </c>
      <c r="F15" s="641"/>
      <c r="G15" s="872"/>
      <c r="H15" s="641"/>
      <c r="I15" s="872"/>
      <c r="J15" s="641"/>
      <c r="K15" s="872"/>
      <c r="L15" s="641"/>
      <c r="M15" s="872"/>
      <c r="N15" s="641"/>
      <c r="O15" s="872"/>
      <c r="P15" s="641"/>
      <c r="Q15" s="872"/>
      <c r="R15" s="641"/>
      <c r="S15" s="872"/>
      <c r="T15" s="641"/>
      <c r="U15" s="872"/>
      <c r="V15" s="641"/>
      <c r="W15" s="872"/>
      <c r="X15" s="641"/>
      <c r="Y15" s="872"/>
      <c r="Z15" s="641"/>
      <c r="AA15" s="872"/>
      <c r="AB15" s="641"/>
      <c r="AC15" s="872"/>
      <c r="AD15" s="641"/>
      <c r="AE15" s="872"/>
      <c r="AF15" s="641"/>
      <c r="AG15" s="872"/>
      <c r="AH15" s="641"/>
      <c r="AI15" s="872"/>
      <c r="AJ15" s="641"/>
      <c r="AK15" s="872"/>
      <c r="AL15" s="641"/>
      <c r="AM15" s="872"/>
      <c r="AN15" s="641"/>
      <c r="AO15" s="872"/>
      <c r="AP15" s="641"/>
      <c r="AQ15" s="872"/>
      <c r="AT15" s="87">
        <v>7</v>
      </c>
      <c r="AU15" s="488" t="s">
        <v>204</v>
      </c>
      <c r="AV15" s="87" t="s">
        <v>372</v>
      </c>
      <c r="AW15" s="87" t="s">
        <v>99</v>
      </c>
      <c r="AX15" s="272"/>
      <c r="AY15" s="85" t="str">
        <f t="shared" si="12"/>
        <v>N/A</v>
      </c>
      <c r="AZ15" s="272"/>
      <c r="BA15" s="88" t="str">
        <f t="shared" si="13"/>
        <v>N/A</v>
      </c>
      <c r="BB15" s="88"/>
      <c r="BC15" s="88" t="str">
        <f t="shared" si="0"/>
        <v>N/A</v>
      </c>
      <c r="BD15" s="88"/>
      <c r="BE15" s="88" t="str">
        <f t="shared" si="1"/>
        <v>N/A</v>
      </c>
      <c r="BF15" s="88"/>
      <c r="BG15" s="88" t="str">
        <f t="shared" si="2"/>
        <v>N/A</v>
      </c>
      <c r="BH15" s="88"/>
      <c r="BI15" s="88" t="str">
        <f t="shared" si="3"/>
        <v>N/A</v>
      </c>
      <c r="BJ15" s="88"/>
      <c r="BK15" s="88" t="str">
        <f t="shared" si="4"/>
        <v>N/A</v>
      </c>
      <c r="BL15" s="88"/>
      <c r="BM15" s="88" t="str">
        <f t="shared" si="5"/>
        <v>N/A</v>
      </c>
      <c r="BN15" s="88"/>
      <c r="BO15" s="88" t="str">
        <f t="shared" si="6"/>
        <v>N/A</v>
      </c>
      <c r="BP15" s="88"/>
      <c r="BQ15" s="88" t="str">
        <f t="shared" si="7"/>
        <v>N/A</v>
      </c>
      <c r="BR15" s="88"/>
      <c r="BS15" s="88" t="str">
        <f t="shared" si="8"/>
        <v>N/A</v>
      </c>
      <c r="BT15" s="88"/>
      <c r="BU15" s="88" t="str">
        <f t="shared" si="9"/>
        <v>N/A</v>
      </c>
      <c r="BV15" s="88"/>
      <c r="BW15" s="88" t="str">
        <f t="shared" si="10"/>
        <v>N/A</v>
      </c>
      <c r="BX15" s="88"/>
      <c r="BY15" s="88" t="str">
        <f t="shared" si="11"/>
        <v>N/A</v>
      </c>
      <c r="BZ15" s="88"/>
      <c r="CA15" s="88" t="str">
        <f t="shared" si="14"/>
        <v>N/A</v>
      </c>
      <c r="CB15" s="88"/>
      <c r="CC15" s="88" t="str">
        <f>IF(OR(ISBLANK(AJ15),ISBLANK(AL15)),"N/A",IF(ABS((AL15-AJ15)/AJ15)&gt;0.25,"&gt; 25%","ok"))</f>
        <v>N/A</v>
      </c>
      <c r="CD15" s="88"/>
      <c r="CE15" s="88" t="str">
        <f>IF(OR(ISBLANK(AL15),ISBLANK(AN15)),"N/A",IF(ABS((AN15-AL15)/AL15)&gt;0.25,"&gt; 25%","ok"))</f>
        <v>N/A</v>
      </c>
      <c r="CF15" s="88"/>
      <c r="CG15" s="88" t="str">
        <f t="shared" si="15"/>
        <v>N/A</v>
      </c>
      <c r="CH15" s="88"/>
    </row>
    <row r="16" spans="2:86" ht="15" customHeight="1">
      <c r="B16" s="259">
        <v>37</v>
      </c>
      <c r="C16" s="279">
        <v>8</v>
      </c>
      <c r="D16" s="491" t="s">
        <v>391</v>
      </c>
      <c r="E16" s="269" t="s">
        <v>372</v>
      </c>
      <c r="F16" s="647"/>
      <c r="G16" s="877"/>
      <c r="H16" s="647"/>
      <c r="I16" s="877"/>
      <c r="J16" s="647"/>
      <c r="K16" s="877"/>
      <c r="L16" s="647"/>
      <c r="M16" s="877"/>
      <c r="N16" s="647"/>
      <c r="O16" s="877"/>
      <c r="P16" s="647"/>
      <c r="Q16" s="877"/>
      <c r="R16" s="647"/>
      <c r="S16" s="877"/>
      <c r="T16" s="647"/>
      <c r="U16" s="877"/>
      <c r="V16" s="647"/>
      <c r="W16" s="877"/>
      <c r="X16" s="647"/>
      <c r="Y16" s="877"/>
      <c r="Z16" s="647"/>
      <c r="AA16" s="877"/>
      <c r="AB16" s="647"/>
      <c r="AC16" s="877"/>
      <c r="AD16" s="647"/>
      <c r="AE16" s="877"/>
      <c r="AF16" s="647"/>
      <c r="AG16" s="877"/>
      <c r="AH16" s="647"/>
      <c r="AI16" s="877"/>
      <c r="AJ16" s="647"/>
      <c r="AK16" s="877"/>
      <c r="AL16" s="647"/>
      <c r="AM16" s="877"/>
      <c r="AN16" s="647"/>
      <c r="AO16" s="877"/>
      <c r="AP16" s="647"/>
      <c r="AQ16" s="877"/>
      <c r="AT16" s="105">
        <v>8</v>
      </c>
      <c r="AU16" s="492" t="s">
        <v>391</v>
      </c>
      <c r="AV16" s="87" t="s">
        <v>372</v>
      </c>
      <c r="AW16" s="284" t="s">
        <v>99</v>
      </c>
      <c r="AX16" s="285"/>
      <c r="AY16" s="85" t="str">
        <f t="shared" si="12"/>
        <v>N/A</v>
      </c>
      <c r="AZ16" s="285"/>
      <c r="BA16" s="88" t="str">
        <f t="shared" si="13"/>
        <v>N/A</v>
      </c>
      <c r="BB16" s="88"/>
      <c r="BC16" s="88" t="str">
        <f t="shared" si="0"/>
        <v>N/A</v>
      </c>
      <c r="BD16" s="88"/>
      <c r="BE16" s="88" t="str">
        <f t="shared" si="1"/>
        <v>N/A</v>
      </c>
      <c r="BF16" s="88"/>
      <c r="BG16" s="88" t="str">
        <f t="shared" si="2"/>
        <v>N/A</v>
      </c>
      <c r="BH16" s="88"/>
      <c r="BI16" s="88" t="str">
        <f t="shared" si="3"/>
        <v>N/A</v>
      </c>
      <c r="BJ16" s="88"/>
      <c r="BK16" s="88" t="str">
        <f t="shared" si="4"/>
        <v>N/A</v>
      </c>
      <c r="BL16" s="88"/>
      <c r="BM16" s="88" t="str">
        <f t="shared" si="5"/>
        <v>N/A</v>
      </c>
      <c r="BN16" s="88"/>
      <c r="BO16" s="88" t="str">
        <f t="shared" si="6"/>
        <v>N/A</v>
      </c>
      <c r="BP16" s="88"/>
      <c r="BQ16" s="88" t="str">
        <f t="shared" si="7"/>
        <v>N/A</v>
      </c>
      <c r="BR16" s="88"/>
      <c r="BS16" s="88" t="str">
        <f t="shared" si="8"/>
        <v>N/A</v>
      </c>
      <c r="BT16" s="88"/>
      <c r="BU16" s="88" t="str">
        <f t="shared" si="9"/>
        <v>N/A</v>
      </c>
      <c r="BV16" s="88"/>
      <c r="BW16" s="88" t="str">
        <f t="shared" si="10"/>
        <v>N/A</v>
      </c>
      <c r="BX16" s="88"/>
      <c r="BY16" s="88" t="str">
        <f t="shared" si="11"/>
        <v>N/A</v>
      </c>
      <c r="BZ16" s="88"/>
      <c r="CA16" s="88" t="str">
        <f t="shared" si="14"/>
        <v>N/A</v>
      </c>
      <c r="CB16" s="88"/>
      <c r="CC16" s="88" t="str">
        <f>IF(OR(ISBLANK(AJ16),ISBLANK(AL16)),"N/A",IF(ABS((AL16-AJ16)/AJ16)&gt;0.25,"&gt; 25%","ok"))</f>
        <v>N/A</v>
      </c>
      <c r="CD16" s="88"/>
      <c r="CE16" s="88" t="str">
        <f>IF(OR(ISBLANK(AL16),ISBLANK(AN16)),"N/A",IF(ABS((AN16-AL16)/AL16)&gt;0.25,"&gt; 25%","ok"))</f>
        <v>N/A</v>
      </c>
      <c r="CF16" s="88"/>
      <c r="CG16" s="88" t="str">
        <f t="shared" si="15"/>
        <v>N/A</v>
      </c>
      <c r="CH16" s="88"/>
    </row>
    <row r="17" spans="2:86" ht="12.75" customHeight="1">
      <c r="B17" s="199">
        <v>5009</v>
      </c>
      <c r="C17" s="284"/>
      <c r="D17" s="493" t="s">
        <v>612</v>
      </c>
      <c r="E17" s="284"/>
      <c r="F17" s="648"/>
      <c r="G17" s="197"/>
      <c r="H17" s="648"/>
      <c r="I17" s="197"/>
      <c r="J17" s="648"/>
      <c r="K17" s="197"/>
      <c r="L17" s="648"/>
      <c r="M17" s="197"/>
      <c r="N17" s="648"/>
      <c r="O17" s="197"/>
      <c r="P17" s="648"/>
      <c r="Q17" s="197"/>
      <c r="R17" s="648"/>
      <c r="S17" s="197"/>
      <c r="T17" s="648"/>
      <c r="U17" s="197"/>
      <c r="V17" s="648"/>
      <c r="W17" s="197"/>
      <c r="X17" s="648"/>
      <c r="Y17" s="197"/>
      <c r="Z17" s="648"/>
      <c r="AA17" s="197"/>
      <c r="AB17" s="648"/>
      <c r="AC17" s="197"/>
      <c r="AD17" s="648"/>
      <c r="AE17" s="197"/>
      <c r="AF17" s="648"/>
      <c r="AG17" s="197"/>
      <c r="AH17" s="648"/>
      <c r="AI17" s="197"/>
      <c r="AJ17" s="648"/>
      <c r="AK17" s="197"/>
      <c r="AL17" s="648"/>
      <c r="AM17" s="197"/>
      <c r="AN17" s="648"/>
      <c r="AO17" s="197"/>
      <c r="AP17" s="648"/>
      <c r="AQ17" s="197"/>
      <c r="AT17" s="284"/>
      <c r="AU17" s="493" t="s">
        <v>612</v>
      </c>
      <c r="AV17" s="284"/>
      <c r="AW17" s="284" t="s">
        <v>99</v>
      </c>
      <c r="AX17" s="285"/>
      <c r="AY17" s="85"/>
      <c r="AZ17" s="285"/>
      <c r="BA17" s="494"/>
      <c r="BB17" s="285"/>
      <c r="BC17" s="494"/>
      <c r="BD17" s="285"/>
      <c r="BE17" s="494"/>
      <c r="BF17" s="285"/>
      <c r="BG17" s="284"/>
      <c r="BH17" s="285"/>
      <c r="BI17" s="284"/>
      <c r="BJ17" s="285"/>
      <c r="BK17" s="284"/>
      <c r="BL17" s="285"/>
      <c r="BM17" s="284"/>
      <c r="BN17" s="285"/>
      <c r="BO17" s="284"/>
      <c r="BP17" s="285"/>
      <c r="BQ17" s="284"/>
      <c r="BR17" s="285"/>
      <c r="BS17" s="494"/>
      <c r="BT17" s="285"/>
      <c r="BU17" s="284"/>
      <c r="BV17" s="285"/>
      <c r="BW17" s="284"/>
      <c r="BX17" s="285"/>
      <c r="BY17" s="284"/>
      <c r="BZ17" s="285"/>
      <c r="CA17" s="88"/>
      <c r="CB17" s="285"/>
      <c r="CC17" s="284"/>
      <c r="CD17" s="285"/>
      <c r="CE17" s="284"/>
      <c r="CF17" s="285"/>
      <c r="CG17" s="88"/>
      <c r="CH17" s="285"/>
    </row>
    <row r="18" spans="1:86" s="495" customFormat="1" ht="27" customHeight="1">
      <c r="A18" s="421"/>
      <c r="B18" s="259">
        <v>277</v>
      </c>
      <c r="C18" s="404">
        <v>9</v>
      </c>
      <c r="D18" s="278" t="s">
        <v>20</v>
      </c>
      <c r="E18" s="269" t="s">
        <v>333</v>
      </c>
      <c r="F18" s="641"/>
      <c r="G18" s="872"/>
      <c r="H18" s="641"/>
      <c r="I18" s="872"/>
      <c r="J18" s="641"/>
      <c r="K18" s="872"/>
      <c r="L18" s="641"/>
      <c r="M18" s="872"/>
      <c r="N18" s="641"/>
      <c r="O18" s="872"/>
      <c r="P18" s="641"/>
      <c r="Q18" s="872"/>
      <c r="R18" s="641"/>
      <c r="S18" s="872"/>
      <c r="T18" s="641"/>
      <c r="U18" s="872"/>
      <c r="V18" s="641"/>
      <c r="W18" s="872"/>
      <c r="X18" s="641"/>
      <c r="Y18" s="872"/>
      <c r="Z18" s="641"/>
      <c r="AA18" s="872"/>
      <c r="AB18" s="641"/>
      <c r="AC18" s="872"/>
      <c r="AD18" s="641"/>
      <c r="AE18" s="872"/>
      <c r="AF18" s="641"/>
      <c r="AG18" s="872"/>
      <c r="AH18" s="641"/>
      <c r="AI18" s="872"/>
      <c r="AJ18" s="641"/>
      <c r="AK18" s="872"/>
      <c r="AL18" s="641"/>
      <c r="AM18" s="872"/>
      <c r="AN18" s="641"/>
      <c r="AO18" s="872"/>
      <c r="AP18" s="641"/>
      <c r="AQ18" s="872"/>
      <c r="AS18" s="420"/>
      <c r="AT18" s="408">
        <v>9</v>
      </c>
      <c r="AU18" s="281" t="s">
        <v>20</v>
      </c>
      <c r="AV18" s="408" t="s">
        <v>333</v>
      </c>
      <c r="AW18" s="87" t="s">
        <v>99</v>
      </c>
      <c r="AX18" s="272"/>
      <c r="AY18" s="88" t="str">
        <f>IF(OR(ISBLANK(F18),ISBLANK(H18)),"N/A",IF(ABS(H18-F18)&gt;25,"&gt; 25%","ok"))</f>
        <v>N/A</v>
      </c>
      <c r="AZ18" s="272"/>
      <c r="BA18" s="88" t="str">
        <f>IF(OR(ISBLANK(H18),ISBLANK(J18)),"N/A",IF(ABS(J18-H18)&gt;25,"&gt; 25%","ok"))</f>
        <v>N/A</v>
      </c>
      <c r="BB18" s="88"/>
      <c r="BC18" s="88" t="str">
        <f aca="true" t="shared" si="16" ref="BC18:BQ20">IF(OR(ISBLANK(J18),ISBLANK(L18)),"N/A",IF(ABS(L18-J18)&gt;25,"&gt; 25%","ok"))</f>
        <v>N/A</v>
      </c>
      <c r="BD18" s="88"/>
      <c r="BE18" s="88" t="str">
        <f t="shared" si="16"/>
        <v>N/A</v>
      </c>
      <c r="BF18" s="88"/>
      <c r="BG18" s="88" t="str">
        <f t="shared" si="16"/>
        <v>N/A</v>
      </c>
      <c r="BH18" s="88"/>
      <c r="BI18" s="88" t="str">
        <f t="shared" si="16"/>
        <v>N/A</v>
      </c>
      <c r="BJ18" s="88"/>
      <c r="BK18" s="88" t="str">
        <f t="shared" si="16"/>
        <v>N/A</v>
      </c>
      <c r="BL18" s="88"/>
      <c r="BM18" s="88" t="str">
        <f t="shared" si="16"/>
        <v>N/A</v>
      </c>
      <c r="BN18" s="88"/>
      <c r="BO18" s="88" t="str">
        <f t="shared" si="16"/>
        <v>N/A</v>
      </c>
      <c r="BP18" s="88"/>
      <c r="BQ18" s="88" t="str">
        <f t="shared" si="16"/>
        <v>N/A</v>
      </c>
      <c r="BR18" s="88"/>
      <c r="BS18" s="88" t="str">
        <f>IF(OR(ISBLANK(Z18),ISBLANK(AB18)),"N/A",IF(ABS(AB18-Z18)&gt;25,"&gt; 25%","ok"))</f>
        <v>N/A</v>
      </c>
      <c r="BT18" s="88"/>
      <c r="BU18" s="88" t="str">
        <f>IF(OR(ISBLANK(AB18),ISBLANK(AD18)),"N/A",IF(ABS(AD18-AB18)&gt;25,"&gt; 25%","ok"))</f>
        <v>N/A</v>
      </c>
      <c r="BV18" s="88"/>
      <c r="BW18" s="88" t="str">
        <f>IF(OR(ISBLANK(AD18),ISBLANK(AF18)),"N/A",IF(ABS(AF18-AD18)&gt;25,"&gt; 25%","ok"))</f>
        <v>N/A</v>
      </c>
      <c r="BX18" s="88"/>
      <c r="BY18" s="88" t="str">
        <f>IF(OR(ISBLANK(AF18),ISBLANK(AH18)),"N/A",IF(ABS(AH18-AF18)&gt;25,"&gt; 25%","ok"))</f>
        <v>N/A</v>
      </c>
      <c r="BZ18" s="88"/>
      <c r="CA18" s="88" t="str">
        <f t="shared" si="14"/>
        <v>N/A</v>
      </c>
      <c r="CB18" s="272"/>
      <c r="CC18" s="88" t="str">
        <f>IF(OR(ISBLANK(AJ18),ISBLANK(AL18)),"N/A",IF(ABS(AL18-AJ18)&gt;25,"&gt; 25%","ok"))</f>
        <v>N/A</v>
      </c>
      <c r="CD18" s="88"/>
      <c r="CE18" s="88" t="str">
        <f>IF(OR(ISBLANK(AL18),ISBLANK(AN18)),"N/A",IF(ABS(AN18-AL18)&gt;25,"&gt; 25%","ok"))</f>
        <v>N/A</v>
      </c>
      <c r="CF18" s="88"/>
      <c r="CG18" s="88" t="str">
        <f t="shared" si="15"/>
        <v>N/A</v>
      </c>
      <c r="CH18" s="272"/>
    </row>
    <row r="19" spans="1:86" s="495" customFormat="1" ht="27" customHeight="1">
      <c r="A19" s="421"/>
      <c r="B19" s="259">
        <v>261</v>
      </c>
      <c r="C19" s="279">
        <v>10</v>
      </c>
      <c r="D19" s="276" t="s">
        <v>619</v>
      </c>
      <c r="E19" s="269" t="s">
        <v>333</v>
      </c>
      <c r="F19" s="641"/>
      <c r="G19" s="872"/>
      <c r="H19" s="641"/>
      <c r="I19" s="872"/>
      <c r="J19" s="641"/>
      <c r="K19" s="872"/>
      <c r="L19" s="641"/>
      <c r="M19" s="872"/>
      <c r="N19" s="641"/>
      <c r="O19" s="872"/>
      <c r="P19" s="641"/>
      <c r="Q19" s="872"/>
      <c r="R19" s="641"/>
      <c r="S19" s="872"/>
      <c r="T19" s="641"/>
      <c r="U19" s="872"/>
      <c r="V19" s="641"/>
      <c r="W19" s="872"/>
      <c r="X19" s="641"/>
      <c r="Y19" s="872"/>
      <c r="Z19" s="641"/>
      <c r="AA19" s="872"/>
      <c r="AB19" s="641"/>
      <c r="AC19" s="872"/>
      <c r="AD19" s="641"/>
      <c r="AE19" s="872"/>
      <c r="AF19" s="641"/>
      <c r="AG19" s="872"/>
      <c r="AH19" s="641"/>
      <c r="AI19" s="872"/>
      <c r="AJ19" s="641"/>
      <c r="AK19" s="872"/>
      <c r="AL19" s="641"/>
      <c r="AM19" s="872"/>
      <c r="AN19" s="641"/>
      <c r="AO19" s="872"/>
      <c r="AP19" s="641"/>
      <c r="AQ19" s="872"/>
      <c r="AS19" s="420"/>
      <c r="AT19" s="87">
        <v>10</v>
      </c>
      <c r="AU19" s="271" t="s">
        <v>619</v>
      </c>
      <c r="AV19" s="87" t="s">
        <v>333</v>
      </c>
      <c r="AW19" s="87" t="s">
        <v>99</v>
      </c>
      <c r="AX19" s="272"/>
      <c r="AY19" s="88" t="str">
        <f>IF(OR(ISBLANK(F19),ISBLANK(H19)),"N/A",IF(ABS(H19-F19)&gt;25,"&gt; 25%","ok"))</f>
        <v>N/A</v>
      </c>
      <c r="AZ19" s="272"/>
      <c r="BA19" s="88" t="str">
        <f>IF(OR(ISBLANK(H19),ISBLANK(J19)),"N/A",IF(ABS(J19-H19)&gt;25,"&gt; 25%","ok"))</f>
        <v>N/A</v>
      </c>
      <c r="BB19" s="88"/>
      <c r="BC19" s="88" t="str">
        <f t="shared" si="16"/>
        <v>N/A</v>
      </c>
      <c r="BD19" s="88"/>
      <c r="BE19" s="88" t="str">
        <f t="shared" si="16"/>
        <v>N/A</v>
      </c>
      <c r="BF19" s="88"/>
      <c r="BG19" s="88" t="str">
        <f t="shared" si="16"/>
        <v>N/A</v>
      </c>
      <c r="BH19" s="88"/>
      <c r="BI19" s="88" t="str">
        <f t="shared" si="16"/>
        <v>N/A</v>
      </c>
      <c r="BJ19" s="88"/>
      <c r="BK19" s="88" t="str">
        <f t="shared" si="16"/>
        <v>N/A</v>
      </c>
      <c r="BL19" s="88"/>
      <c r="BM19" s="88" t="str">
        <f t="shared" si="16"/>
        <v>N/A</v>
      </c>
      <c r="BN19" s="88"/>
      <c r="BO19" s="88" t="str">
        <f t="shared" si="16"/>
        <v>N/A</v>
      </c>
      <c r="BP19" s="88"/>
      <c r="BQ19" s="88" t="str">
        <f t="shared" si="16"/>
        <v>N/A</v>
      </c>
      <c r="BR19" s="88"/>
      <c r="BS19" s="88" t="str">
        <f>IF(OR(ISBLANK(Z19),ISBLANK(AB19)),"N/A",IF(ABS(AB19-Z19)&gt;25,"&gt; 25%","ok"))</f>
        <v>N/A</v>
      </c>
      <c r="BT19" s="88"/>
      <c r="BU19" s="88" t="str">
        <f>IF(OR(ISBLANK(AB19),ISBLANK(AD19)),"N/A",IF(ABS(AD19-AB19)&gt;25,"&gt; 25%","ok"))</f>
        <v>N/A</v>
      </c>
      <c r="BV19" s="88"/>
      <c r="BW19" s="88" t="str">
        <f>IF(OR(ISBLANK(AD19),ISBLANK(AF19)),"N/A",IF(ABS(AF19-AD19)&gt;25,"&gt; 25%","ok"))</f>
        <v>N/A</v>
      </c>
      <c r="BX19" s="88"/>
      <c r="BY19" s="88" t="str">
        <f>IF(OR(ISBLANK(AF19),ISBLANK(AH19)),"N/A",IF(ABS(AH19-AF19)&gt;25,"&gt; 25%","ok"))</f>
        <v>N/A</v>
      </c>
      <c r="BZ19" s="88"/>
      <c r="CA19" s="88" t="str">
        <f t="shared" si="14"/>
        <v>N/A</v>
      </c>
      <c r="CB19" s="272"/>
      <c r="CC19" s="88" t="str">
        <f>IF(OR(ISBLANK(AJ19),ISBLANK(AL19)),"N/A",IF(ABS(AL19-AJ19)&gt;25,"&gt; 25%","ok"))</f>
        <v>N/A</v>
      </c>
      <c r="CD19" s="88"/>
      <c r="CE19" s="88" t="str">
        <f>IF(OR(ISBLANK(AL19),ISBLANK(AN19)),"N/A",IF(ABS(AN19-AL19)&gt;25,"&gt; 25%","ok"))</f>
        <v>N/A</v>
      </c>
      <c r="CF19" s="88"/>
      <c r="CG19" s="88" t="str">
        <f t="shared" si="15"/>
        <v>N/A</v>
      </c>
      <c r="CH19" s="272"/>
    </row>
    <row r="20" spans="1:86" s="495" customFormat="1" ht="27" customHeight="1">
      <c r="A20" s="421"/>
      <c r="B20" s="259">
        <v>262</v>
      </c>
      <c r="C20" s="425">
        <v>11</v>
      </c>
      <c r="D20" s="293" t="s">
        <v>620</v>
      </c>
      <c r="E20" s="291" t="s">
        <v>333</v>
      </c>
      <c r="F20" s="649"/>
      <c r="G20" s="878"/>
      <c r="H20" s="649"/>
      <c r="I20" s="878"/>
      <c r="J20" s="649"/>
      <c r="K20" s="878"/>
      <c r="L20" s="649"/>
      <c r="M20" s="878"/>
      <c r="N20" s="649"/>
      <c r="O20" s="878"/>
      <c r="P20" s="649"/>
      <c r="Q20" s="878"/>
      <c r="R20" s="649"/>
      <c r="S20" s="878"/>
      <c r="T20" s="649"/>
      <c r="U20" s="878"/>
      <c r="V20" s="649"/>
      <c r="W20" s="878"/>
      <c r="X20" s="649"/>
      <c r="Y20" s="878"/>
      <c r="Z20" s="649"/>
      <c r="AA20" s="878"/>
      <c r="AB20" s="649"/>
      <c r="AC20" s="878"/>
      <c r="AD20" s="649"/>
      <c r="AE20" s="878"/>
      <c r="AF20" s="649"/>
      <c r="AG20" s="878"/>
      <c r="AH20" s="649"/>
      <c r="AI20" s="878"/>
      <c r="AJ20" s="649"/>
      <c r="AK20" s="878"/>
      <c r="AL20" s="649"/>
      <c r="AM20" s="878"/>
      <c r="AN20" s="649"/>
      <c r="AO20" s="878"/>
      <c r="AP20" s="651"/>
      <c r="AQ20" s="878"/>
      <c r="AS20" s="420"/>
      <c r="AT20" s="103">
        <v>11</v>
      </c>
      <c r="AU20" s="496" t="s">
        <v>620</v>
      </c>
      <c r="AV20" s="103" t="s">
        <v>333</v>
      </c>
      <c r="AW20" s="103" t="s">
        <v>99</v>
      </c>
      <c r="AX20" s="298"/>
      <c r="AY20" s="86" t="str">
        <f>IF(OR(ISBLANK(F20),ISBLANK(H20)),"N/A",IF(ABS(H20-F20)&gt;25,"&gt; 25%","ok"))</f>
        <v>N/A</v>
      </c>
      <c r="AZ20" s="298"/>
      <c r="BA20" s="86" t="str">
        <f>IF(OR(ISBLANK(H20),ISBLANK(J20)),"N/A",IF(ABS(J20-H20)&gt;25,"&gt; 25%","ok"))</f>
        <v>N/A</v>
      </c>
      <c r="BB20" s="86"/>
      <c r="BC20" s="86" t="str">
        <f t="shared" si="16"/>
        <v>N/A</v>
      </c>
      <c r="BD20" s="86"/>
      <c r="BE20" s="86" t="str">
        <f t="shared" si="16"/>
        <v>N/A</v>
      </c>
      <c r="BF20" s="86"/>
      <c r="BG20" s="86" t="str">
        <f t="shared" si="16"/>
        <v>N/A</v>
      </c>
      <c r="BH20" s="86"/>
      <c r="BI20" s="86" t="str">
        <f t="shared" si="16"/>
        <v>N/A</v>
      </c>
      <c r="BJ20" s="86"/>
      <c r="BK20" s="86" t="str">
        <f t="shared" si="16"/>
        <v>N/A</v>
      </c>
      <c r="BL20" s="86"/>
      <c r="BM20" s="86" t="str">
        <f t="shared" si="16"/>
        <v>N/A</v>
      </c>
      <c r="BN20" s="86"/>
      <c r="BO20" s="86" t="str">
        <f t="shared" si="16"/>
        <v>N/A</v>
      </c>
      <c r="BP20" s="86"/>
      <c r="BQ20" s="86" t="str">
        <f t="shared" si="16"/>
        <v>N/A</v>
      </c>
      <c r="BR20" s="86"/>
      <c r="BS20" s="86" t="str">
        <f>IF(OR(ISBLANK(Z20),ISBLANK(AB20)),"N/A",IF(ABS(AB20-Z20)&gt;25,"&gt; 25%","ok"))</f>
        <v>N/A</v>
      </c>
      <c r="BT20" s="86"/>
      <c r="BU20" s="86" t="str">
        <f>IF(OR(ISBLANK(AB20),ISBLANK(AD20)),"N/A",IF(ABS(AD20-AB20)&gt;25,"&gt; 25%","ok"))</f>
        <v>N/A</v>
      </c>
      <c r="BV20" s="86"/>
      <c r="BW20" s="86" t="str">
        <f>IF(OR(ISBLANK(AD20),ISBLANK(AF20)),"N/A",IF(ABS(AF20-AD20)&gt;25,"&gt; 25%","ok"))</f>
        <v>N/A</v>
      </c>
      <c r="BX20" s="86"/>
      <c r="BY20" s="86" t="str">
        <f>IF(OR(ISBLANK(AF20),ISBLANK(AH20)),"N/A",IF(ABS(AH20-AF20)&gt;25,"&gt; 25%","ok"))</f>
        <v>N/A</v>
      </c>
      <c r="BZ20" s="86"/>
      <c r="CA20" s="86" t="str">
        <f t="shared" si="14"/>
        <v>N/A</v>
      </c>
      <c r="CB20" s="298"/>
      <c r="CC20" s="86" t="str">
        <f>IF(OR(ISBLANK(AJ20),ISBLANK(AL20)),"N/A",IF(ABS(AL20-AJ20)&gt;25,"&gt; 25%","ok"))</f>
        <v>N/A</v>
      </c>
      <c r="CD20" s="86"/>
      <c r="CE20" s="86" t="str">
        <f>IF(OR(ISBLANK(AL20),ISBLANK(AN20)),"N/A",IF(ABS(AN20-AL20)&gt;25,"&gt; 25%","ok"))</f>
        <v>N/A</v>
      </c>
      <c r="CF20" s="86"/>
      <c r="CG20" s="86" t="str">
        <f t="shared" si="15"/>
        <v>N/A</v>
      </c>
      <c r="CH20" s="298"/>
    </row>
    <row r="21" spans="4:46" ht="12" customHeight="1">
      <c r="D21" s="296"/>
      <c r="AT21" s="396" t="s">
        <v>54</v>
      </c>
    </row>
    <row r="22" spans="3:86" ht="15" customHeight="1">
      <c r="C22" s="385" t="s">
        <v>378</v>
      </c>
      <c r="D22" s="497"/>
      <c r="E22" s="498"/>
      <c r="F22" s="385"/>
      <c r="G22" s="385"/>
      <c r="AT22" s="253" t="s">
        <v>359</v>
      </c>
      <c r="AU22" s="253" t="s">
        <v>361</v>
      </c>
      <c r="AV22" s="253" t="s">
        <v>364</v>
      </c>
      <c r="AW22" s="252">
        <v>1990</v>
      </c>
      <c r="AX22" s="254"/>
      <c r="AY22" s="253">
        <v>1995</v>
      </c>
      <c r="AZ22" s="254"/>
      <c r="BA22" s="253">
        <v>1996</v>
      </c>
      <c r="BB22" s="254"/>
      <c r="BC22" s="253">
        <v>1997</v>
      </c>
      <c r="BD22" s="254"/>
      <c r="BE22" s="253">
        <v>1998</v>
      </c>
      <c r="BF22" s="254"/>
      <c r="BG22" s="253">
        <v>1999</v>
      </c>
      <c r="BH22" s="254"/>
      <c r="BI22" s="253">
        <v>2000</v>
      </c>
      <c r="BJ22" s="254"/>
      <c r="BK22" s="253">
        <v>2001</v>
      </c>
      <c r="BL22" s="254"/>
      <c r="BM22" s="253">
        <v>2002</v>
      </c>
      <c r="BN22" s="254"/>
      <c r="BO22" s="253">
        <v>2003</v>
      </c>
      <c r="BP22" s="254"/>
      <c r="BQ22" s="253">
        <v>2004</v>
      </c>
      <c r="BR22" s="254"/>
      <c r="BS22" s="253">
        <v>2005</v>
      </c>
      <c r="BT22" s="254"/>
      <c r="BU22" s="253">
        <v>2006</v>
      </c>
      <c r="BV22" s="254"/>
      <c r="BW22" s="253">
        <v>2007</v>
      </c>
      <c r="BX22" s="254"/>
      <c r="BY22" s="253">
        <v>2008</v>
      </c>
      <c r="BZ22" s="254"/>
      <c r="CA22" s="253">
        <v>2009</v>
      </c>
      <c r="CB22" s="254"/>
      <c r="CC22" s="253">
        <v>2010</v>
      </c>
      <c r="CD22" s="254"/>
      <c r="CE22" s="253">
        <v>2011</v>
      </c>
      <c r="CF22" s="254"/>
      <c r="CG22" s="253">
        <v>2012</v>
      </c>
      <c r="CH22" s="254"/>
    </row>
    <row r="23" spans="3:86" ht="17.25" customHeight="1">
      <c r="C23" s="305" t="s">
        <v>169</v>
      </c>
      <c r="D23" s="739" t="s">
        <v>145</v>
      </c>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499"/>
      <c r="AT23" s="87">
        <v>3</v>
      </c>
      <c r="AU23" s="500" t="s">
        <v>21</v>
      </c>
      <c r="AV23" s="87" t="s">
        <v>372</v>
      </c>
      <c r="AW23" s="87">
        <f>F10</f>
        <v>0</v>
      </c>
      <c r="AX23" s="87"/>
      <c r="AY23" s="87">
        <f>H10</f>
        <v>0</v>
      </c>
      <c r="AZ23" s="87"/>
      <c r="BA23" s="87">
        <f>J10</f>
        <v>0</v>
      </c>
      <c r="BB23" s="87"/>
      <c r="BC23" s="87">
        <f>L10</f>
        <v>0</v>
      </c>
      <c r="BD23" s="87"/>
      <c r="BE23" s="87">
        <f>N10</f>
        <v>0</v>
      </c>
      <c r="BF23" s="87"/>
      <c r="BG23" s="87">
        <f>P10</f>
        <v>0</v>
      </c>
      <c r="BH23" s="87"/>
      <c r="BI23" s="87">
        <f>R10</f>
        <v>0</v>
      </c>
      <c r="BJ23" s="87"/>
      <c r="BK23" s="87">
        <f>T10</f>
        <v>0</v>
      </c>
      <c r="BL23" s="87"/>
      <c r="BM23" s="87">
        <f>V10</f>
        <v>0</v>
      </c>
      <c r="BN23" s="87"/>
      <c r="BO23" s="87">
        <f>X10</f>
        <v>0</v>
      </c>
      <c r="BP23" s="87"/>
      <c r="BQ23" s="87">
        <f>Z10</f>
        <v>0</v>
      </c>
      <c r="BR23" s="87"/>
      <c r="BS23" s="87">
        <f>AB10</f>
        <v>0</v>
      </c>
      <c r="BT23" s="87"/>
      <c r="BU23" s="87">
        <f>AD10</f>
        <v>0</v>
      </c>
      <c r="BV23" s="87"/>
      <c r="BW23" s="87">
        <f>AF10</f>
        <v>0</v>
      </c>
      <c r="BX23" s="87"/>
      <c r="BY23" s="87">
        <f>AH10</f>
        <v>0</v>
      </c>
      <c r="BZ23" s="87"/>
      <c r="CA23" s="87">
        <f>AJ10</f>
        <v>0</v>
      </c>
      <c r="CB23" s="272"/>
      <c r="CC23" s="87">
        <f>AL10</f>
        <v>0</v>
      </c>
      <c r="CD23" s="87"/>
      <c r="CE23" s="87">
        <f>AN10</f>
        <v>0</v>
      </c>
      <c r="CF23" s="87"/>
      <c r="CG23" s="87">
        <f>AP10</f>
        <v>0</v>
      </c>
      <c r="CH23" s="272"/>
    </row>
    <row r="24" spans="1:101" s="476" customFormat="1" ht="25.5" customHeight="1">
      <c r="A24" s="307"/>
      <c r="B24" s="307"/>
      <c r="C24" s="305" t="s">
        <v>169</v>
      </c>
      <c r="D24" s="735" t="s">
        <v>170</v>
      </c>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499"/>
      <c r="AT24" s="329">
        <v>12</v>
      </c>
      <c r="AU24" s="501" t="s">
        <v>44</v>
      </c>
      <c r="AV24" s="87" t="s">
        <v>372</v>
      </c>
      <c r="AW24" s="87">
        <f>F8-F9</f>
        <v>0</v>
      </c>
      <c r="AX24" s="87"/>
      <c r="AY24" s="87">
        <f>H8-H9</f>
        <v>0</v>
      </c>
      <c r="AZ24" s="87"/>
      <c r="BA24" s="87">
        <f>J8-J9</f>
        <v>0</v>
      </c>
      <c r="BB24" s="87"/>
      <c r="BC24" s="87">
        <f>L8-L9</f>
        <v>0</v>
      </c>
      <c r="BD24" s="87"/>
      <c r="BE24" s="87">
        <f>N8-N9</f>
        <v>0</v>
      </c>
      <c r="BF24" s="87"/>
      <c r="BG24" s="87">
        <f>P8-P9</f>
        <v>0</v>
      </c>
      <c r="BH24" s="87"/>
      <c r="BI24" s="87">
        <f>R8-R9</f>
        <v>0</v>
      </c>
      <c r="BJ24" s="87"/>
      <c r="BK24" s="87">
        <f>T8-T9</f>
        <v>0</v>
      </c>
      <c r="BL24" s="87"/>
      <c r="BM24" s="87">
        <f>V8-V9</f>
        <v>0</v>
      </c>
      <c r="BN24" s="87"/>
      <c r="BO24" s="87">
        <f>X8-X9</f>
        <v>0</v>
      </c>
      <c r="BP24" s="87"/>
      <c r="BQ24" s="87">
        <f>Z8-Z9</f>
        <v>0</v>
      </c>
      <c r="BR24" s="87"/>
      <c r="BS24" s="87">
        <f>AB8-AB9</f>
        <v>0</v>
      </c>
      <c r="BT24" s="87"/>
      <c r="BU24" s="87">
        <f>AD8-AD9</f>
        <v>0</v>
      </c>
      <c r="BV24" s="87"/>
      <c r="BW24" s="87">
        <f>AF8-AF9</f>
        <v>0</v>
      </c>
      <c r="BX24" s="87"/>
      <c r="BY24" s="87">
        <f>AH8-AH9</f>
        <v>0</v>
      </c>
      <c r="BZ24" s="87"/>
      <c r="CA24" s="87">
        <f>AJ8-AJ9</f>
        <v>0</v>
      </c>
      <c r="CB24" s="272"/>
      <c r="CC24" s="87">
        <f>AL8-AL9</f>
        <v>0</v>
      </c>
      <c r="CD24" s="87"/>
      <c r="CE24" s="87">
        <f>AN8-AN9</f>
        <v>0</v>
      </c>
      <c r="CF24" s="87"/>
      <c r="CG24" s="87">
        <f>AP8-AP9</f>
        <v>0</v>
      </c>
      <c r="CH24" s="272"/>
      <c r="CI24" s="502"/>
      <c r="CJ24" s="502"/>
      <c r="CK24" s="502"/>
      <c r="CL24" s="502"/>
      <c r="CM24" s="502"/>
      <c r="CN24" s="502"/>
      <c r="CO24" s="502"/>
      <c r="CP24" s="502"/>
      <c r="CQ24" s="502"/>
      <c r="CR24" s="502"/>
      <c r="CS24" s="502"/>
      <c r="CT24" s="502"/>
      <c r="CU24" s="502"/>
      <c r="CV24" s="502"/>
      <c r="CW24" s="502"/>
    </row>
    <row r="25" spans="1:101" s="476" customFormat="1" ht="14.25" customHeight="1">
      <c r="A25" s="307"/>
      <c r="B25" s="307"/>
      <c r="C25" s="305" t="s">
        <v>169</v>
      </c>
      <c r="D25" s="739" t="s">
        <v>322</v>
      </c>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306"/>
      <c r="AQ25" s="306"/>
      <c r="AR25" s="306"/>
      <c r="AS25" s="499"/>
      <c r="AT25" s="314" t="s">
        <v>208</v>
      </c>
      <c r="AU25" s="311" t="s">
        <v>434</v>
      </c>
      <c r="AV25" s="87"/>
      <c r="AW25" s="87" t="str">
        <f>IF(OR(ISBLANK(F8),ISBLANK(F9),ISBLANK(F10)),"N/A",IF((AW23=AW24),"ok","&lt;&gt;"))</f>
        <v>N/A</v>
      </c>
      <c r="AX25" s="87"/>
      <c r="AY25" s="87" t="str">
        <f aca="true" t="shared" si="17" ref="AY25:CG25">IF(OR(ISBLANK(H8),ISBLANK(H9),ISBLANK(H10)),"N/A",IF((AY23=AY24),"ok","&lt;&gt;"))</f>
        <v>N/A</v>
      </c>
      <c r="AZ25" s="87"/>
      <c r="BA25" s="87" t="str">
        <f t="shared" si="17"/>
        <v>N/A</v>
      </c>
      <c r="BB25" s="87"/>
      <c r="BC25" s="87" t="str">
        <f t="shared" si="17"/>
        <v>N/A</v>
      </c>
      <c r="BD25" s="87"/>
      <c r="BE25" s="87" t="str">
        <f t="shared" si="17"/>
        <v>N/A</v>
      </c>
      <c r="BF25" s="87"/>
      <c r="BG25" s="87" t="str">
        <f t="shared" si="17"/>
        <v>N/A</v>
      </c>
      <c r="BH25" s="87"/>
      <c r="BI25" s="87" t="str">
        <f t="shared" si="17"/>
        <v>N/A</v>
      </c>
      <c r="BJ25" s="87"/>
      <c r="BK25" s="87" t="str">
        <f t="shared" si="17"/>
        <v>N/A</v>
      </c>
      <c r="BL25" s="87"/>
      <c r="BM25" s="87" t="str">
        <f t="shared" si="17"/>
        <v>N/A</v>
      </c>
      <c r="BN25" s="87"/>
      <c r="BO25" s="87" t="str">
        <f t="shared" si="17"/>
        <v>N/A</v>
      </c>
      <c r="BP25" s="87"/>
      <c r="BQ25" s="87" t="str">
        <f t="shared" si="17"/>
        <v>N/A</v>
      </c>
      <c r="BR25" s="87"/>
      <c r="BS25" s="87" t="str">
        <f t="shared" si="17"/>
        <v>N/A</v>
      </c>
      <c r="BT25" s="87"/>
      <c r="BU25" s="87" t="str">
        <f t="shared" si="17"/>
        <v>N/A</v>
      </c>
      <c r="BV25" s="87"/>
      <c r="BW25" s="87" t="str">
        <f t="shared" si="17"/>
        <v>N/A</v>
      </c>
      <c r="BX25" s="87"/>
      <c r="BY25" s="87" t="str">
        <f t="shared" si="17"/>
        <v>N/A</v>
      </c>
      <c r="BZ25" s="87"/>
      <c r="CA25" s="87" t="str">
        <f t="shared" si="17"/>
        <v>N/A</v>
      </c>
      <c r="CB25" s="87"/>
      <c r="CC25" s="87" t="str">
        <f t="shared" si="17"/>
        <v>N/A</v>
      </c>
      <c r="CD25" s="87"/>
      <c r="CE25" s="87" t="str">
        <f t="shared" si="17"/>
        <v>N/A</v>
      </c>
      <c r="CF25" s="87"/>
      <c r="CG25" s="87" t="str">
        <f t="shared" si="17"/>
        <v>N/A</v>
      </c>
      <c r="CH25" s="272"/>
      <c r="CI25" s="502"/>
      <c r="CJ25" s="502"/>
      <c r="CK25" s="502"/>
      <c r="CL25" s="502"/>
      <c r="CM25" s="502"/>
      <c r="CN25" s="502"/>
      <c r="CO25" s="502"/>
      <c r="CP25" s="502"/>
      <c r="CQ25" s="502"/>
      <c r="CR25" s="502"/>
      <c r="CS25" s="502"/>
      <c r="CT25" s="502"/>
      <c r="CU25" s="502"/>
      <c r="CV25" s="502"/>
      <c r="CW25" s="502"/>
    </row>
    <row r="26" spans="1:101" s="476" customFormat="1" ht="29.25" customHeight="1">
      <c r="A26" s="307"/>
      <c r="B26" s="307"/>
      <c r="C26" s="305" t="s">
        <v>169</v>
      </c>
      <c r="D26" s="739" t="s">
        <v>131</v>
      </c>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499"/>
      <c r="AT26" s="329">
        <v>13</v>
      </c>
      <c r="AU26" s="311" t="s">
        <v>93</v>
      </c>
      <c r="AV26" s="87" t="s">
        <v>372</v>
      </c>
      <c r="AW26" s="87">
        <f>SUM(F12:F16)</f>
        <v>0</v>
      </c>
      <c r="AX26" s="87"/>
      <c r="AY26" s="87">
        <f aca="true" t="shared" si="18" ref="AY26:CG26">SUM(H12:H16)</f>
        <v>0</v>
      </c>
      <c r="AZ26" s="87"/>
      <c r="BA26" s="87">
        <f t="shared" si="18"/>
        <v>0</v>
      </c>
      <c r="BB26" s="87"/>
      <c r="BC26" s="87">
        <f t="shared" si="18"/>
        <v>0</v>
      </c>
      <c r="BD26" s="87"/>
      <c r="BE26" s="87">
        <f t="shared" si="18"/>
        <v>0</v>
      </c>
      <c r="BF26" s="87"/>
      <c r="BG26" s="87">
        <f t="shared" si="18"/>
        <v>0</v>
      </c>
      <c r="BH26" s="87"/>
      <c r="BI26" s="87">
        <f t="shared" si="18"/>
        <v>0</v>
      </c>
      <c r="BJ26" s="87"/>
      <c r="BK26" s="87">
        <f t="shared" si="18"/>
        <v>0</v>
      </c>
      <c r="BL26" s="87"/>
      <c r="BM26" s="87">
        <f t="shared" si="18"/>
        <v>0</v>
      </c>
      <c r="BN26" s="87"/>
      <c r="BO26" s="87">
        <f t="shared" si="18"/>
        <v>0</v>
      </c>
      <c r="BP26" s="87"/>
      <c r="BQ26" s="87">
        <f t="shared" si="18"/>
        <v>0</v>
      </c>
      <c r="BR26" s="87"/>
      <c r="BS26" s="87">
        <f t="shared" si="18"/>
        <v>0</v>
      </c>
      <c r="BT26" s="87"/>
      <c r="BU26" s="87">
        <f t="shared" si="18"/>
        <v>0</v>
      </c>
      <c r="BV26" s="87"/>
      <c r="BW26" s="87">
        <f t="shared" si="18"/>
        <v>0</v>
      </c>
      <c r="BX26" s="87"/>
      <c r="BY26" s="87">
        <f t="shared" si="18"/>
        <v>0</v>
      </c>
      <c r="BZ26" s="87"/>
      <c r="CA26" s="87">
        <f t="shared" si="18"/>
        <v>0</v>
      </c>
      <c r="CB26" s="87"/>
      <c r="CC26" s="87">
        <f t="shared" si="18"/>
        <v>0</v>
      </c>
      <c r="CD26" s="87"/>
      <c r="CE26" s="87">
        <f t="shared" si="18"/>
        <v>0</v>
      </c>
      <c r="CF26" s="87"/>
      <c r="CG26" s="87">
        <f t="shared" si="18"/>
        <v>0</v>
      </c>
      <c r="CH26" s="272"/>
      <c r="CI26" s="502"/>
      <c r="CJ26" s="502"/>
      <c r="CK26" s="502"/>
      <c r="CL26" s="502"/>
      <c r="CM26" s="502"/>
      <c r="CN26" s="502"/>
      <c r="CO26" s="502"/>
      <c r="CP26" s="502"/>
      <c r="CQ26" s="502"/>
      <c r="CR26" s="502"/>
      <c r="CS26" s="502"/>
      <c r="CT26" s="502"/>
      <c r="CU26" s="502"/>
      <c r="CV26" s="502"/>
      <c r="CW26" s="502"/>
    </row>
    <row r="27" spans="1:101" s="476" customFormat="1" ht="16.5" customHeight="1">
      <c r="A27" s="307"/>
      <c r="B27" s="307"/>
      <c r="C27" s="305" t="s">
        <v>169</v>
      </c>
      <c r="D27" s="735" t="s">
        <v>632</v>
      </c>
      <c r="E27" s="735"/>
      <c r="F27" s="735"/>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499"/>
      <c r="AT27" s="314" t="s">
        <v>208</v>
      </c>
      <c r="AU27" s="311" t="s">
        <v>435</v>
      </c>
      <c r="AV27" s="87"/>
      <c r="AW27" s="87" t="str">
        <f>IF(OR(ISBLANK(F12),ISBLANK(F13),ISBLANK(F14),ISBLANK(F15),ISBLANK(F16),ISBLANK(F10)),"N/A",IF((AW23=AW26),"ok","&lt;&gt;"))</f>
        <v>N/A</v>
      </c>
      <c r="AX27" s="87"/>
      <c r="AY27" s="87" t="str">
        <f aca="true" t="shared" si="19" ref="AY27:CG27">IF(OR(ISBLANK(H12),ISBLANK(H13),ISBLANK(H14),ISBLANK(H15),ISBLANK(H16),ISBLANK(H10)),"N/A",IF((AY23=AY26),"ok","&lt;&gt;"))</f>
        <v>N/A</v>
      </c>
      <c r="AZ27" s="87"/>
      <c r="BA27" s="87" t="str">
        <f t="shared" si="19"/>
        <v>N/A</v>
      </c>
      <c r="BB27" s="87"/>
      <c r="BC27" s="87" t="str">
        <f t="shared" si="19"/>
        <v>N/A</v>
      </c>
      <c r="BD27" s="87"/>
      <c r="BE27" s="87" t="str">
        <f t="shared" si="19"/>
        <v>N/A</v>
      </c>
      <c r="BF27" s="87"/>
      <c r="BG27" s="87" t="str">
        <f t="shared" si="19"/>
        <v>N/A</v>
      </c>
      <c r="BH27" s="87"/>
      <c r="BI27" s="87" t="str">
        <f t="shared" si="19"/>
        <v>N/A</v>
      </c>
      <c r="BJ27" s="87"/>
      <c r="BK27" s="87" t="str">
        <f t="shared" si="19"/>
        <v>N/A</v>
      </c>
      <c r="BL27" s="87"/>
      <c r="BM27" s="87" t="str">
        <f t="shared" si="19"/>
        <v>N/A</v>
      </c>
      <c r="BN27" s="87"/>
      <c r="BO27" s="87" t="str">
        <f t="shared" si="19"/>
        <v>N/A</v>
      </c>
      <c r="BP27" s="87"/>
      <c r="BQ27" s="87" t="str">
        <f t="shared" si="19"/>
        <v>N/A</v>
      </c>
      <c r="BR27" s="87"/>
      <c r="BS27" s="87" t="str">
        <f t="shared" si="19"/>
        <v>N/A</v>
      </c>
      <c r="BT27" s="87"/>
      <c r="BU27" s="87" t="str">
        <f t="shared" si="19"/>
        <v>N/A</v>
      </c>
      <c r="BV27" s="87"/>
      <c r="BW27" s="87" t="str">
        <f t="shared" si="19"/>
        <v>N/A</v>
      </c>
      <c r="BX27" s="87"/>
      <c r="BY27" s="87" t="str">
        <f t="shared" si="19"/>
        <v>N/A</v>
      </c>
      <c r="BZ27" s="87"/>
      <c r="CA27" s="87" t="str">
        <f t="shared" si="19"/>
        <v>N/A</v>
      </c>
      <c r="CB27" s="87"/>
      <c r="CC27" s="87" t="str">
        <f t="shared" si="19"/>
        <v>N/A</v>
      </c>
      <c r="CD27" s="87"/>
      <c r="CE27" s="87" t="str">
        <f t="shared" si="19"/>
        <v>N/A</v>
      </c>
      <c r="CF27" s="87"/>
      <c r="CG27" s="87" t="str">
        <f t="shared" si="19"/>
        <v>N/A</v>
      </c>
      <c r="CH27" s="272"/>
      <c r="CI27" s="502"/>
      <c r="CJ27" s="502"/>
      <c r="CK27" s="502"/>
      <c r="CL27" s="502"/>
      <c r="CM27" s="502"/>
      <c r="CN27" s="502"/>
      <c r="CO27" s="502"/>
      <c r="CP27" s="502"/>
      <c r="CQ27" s="502"/>
      <c r="CR27" s="502"/>
      <c r="CS27" s="502"/>
      <c r="CT27" s="502"/>
      <c r="CU27" s="502"/>
      <c r="CV27" s="502"/>
      <c r="CW27" s="502"/>
    </row>
    <row r="28" spans="1:101" ht="20.25" customHeight="1">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824" t="str">
        <f>D12&amp;" (W3,4)"</f>
        <v>Households (W3,4)</v>
      </c>
      <c r="AG28" s="825"/>
      <c r="AH28" s="825"/>
      <c r="AI28" s="825"/>
      <c r="AJ28" s="825"/>
      <c r="AK28" s="825"/>
      <c r="AL28" s="825"/>
      <c r="AM28" s="825"/>
      <c r="AN28" s="825"/>
      <c r="AO28" s="826"/>
      <c r="AP28" s="503"/>
      <c r="AQ28" s="504"/>
      <c r="AR28" s="316"/>
      <c r="AS28" s="505"/>
      <c r="AT28" s="343" t="s">
        <v>208</v>
      </c>
      <c r="AU28" s="506" t="s">
        <v>436</v>
      </c>
      <c r="AV28" s="106"/>
      <c r="AW28" s="106" t="str">
        <f>IF(OR(ISBLANK(F18),ISBLANK(F19),ISBLANK(F20)),"N/A",IF(F18&lt;F20,"&lt;&gt;",IF(F18&gt;F19,"&lt;&gt;","ok")))</f>
        <v>N/A</v>
      </c>
      <c r="AX28" s="103"/>
      <c r="AY28" s="106" t="str">
        <f>IF(OR(ISBLANK(H18),ISBLANK(H19),ISBLANK(H20)),"N/A",IF(H18&lt;H20,"&lt;&gt;",IF(H18&gt;H19,"&lt;&gt;","ok")))</f>
        <v>N/A</v>
      </c>
      <c r="AZ28" s="103"/>
      <c r="BA28" s="106" t="str">
        <f>IF(OR(ISBLANK(J18),ISBLANK(J19),ISBLANK(J20)),"N/A",IF(J18&lt;J20,"&lt;&gt;",IF(J18&gt;J19,"&lt;&gt;","ok")))</f>
        <v>N/A</v>
      </c>
      <c r="BB28" s="103"/>
      <c r="BC28" s="106" t="str">
        <f>IF(OR(ISBLANK(L18),ISBLANK(L19),ISBLANK(L20)),"N/A",IF(L18&lt;L20,"&lt;&gt;",IF(L18&gt;L19,"&lt;&gt;","ok")))</f>
        <v>N/A</v>
      </c>
      <c r="BD28" s="103"/>
      <c r="BE28" s="106" t="str">
        <f>IF(OR(ISBLANK(N18),ISBLANK(N19),ISBLANK(N20)),"N/A",IF(N18&lt;N20,"&lt;&gt;",IF(N18&gt;N19,"&lt;&gt;","ok")))</f>
        <v>N/A</v>
      </c>
      <c r="BF28" s="103"/>
      <c r="BG28" s="106" t="str">
        <f>IF(OR(ISBLANK(P18),ISBLANK(P19),ISBLANK(P20)),"N/A",IF(P18&lt;P20,"&lt;&gt;",IF(P18&gt;P19,"&lt;&gt;","ok")))</f>
        <v>N/A</v>
      </c>
      <c r="BH28" s="103"/>
      <c r="BI28" s="106" t="str">
        <f>IF(OR(ISBLANK(R18),ISBLANK(R19),ISBLANK(R20)),"N/A",IF(R18&lt;R20,"&lt;&gt;",IF(R18&gt;R19,"&lt;&gt;","ok")))</f>
        <v>N/A</v>
      </c>
      <c r="BJ28" s="103"/>
      <c r="BK28" s="106" t="str">
        <f>IF(OR(ISBLANK(T18),ISBLANK(T19),ISBLANK(T20)),"N/A",IF(T18&lt;T20,"&lt;&gt;",IF(T18&gt;T19,"&lt;&gt;","ok")))</f>
        <v>N/A</v>
      </c>
      <c r="BL28" s="103"/>
      <c r="BM28" s="106" t="str">
        <f>IF(OR(ISBLANK(V18),ISBLANK(V19),ISBLANK(V20)),"N/A",IF(V18&lt;V20,"&lt;&gt;",IF(V18&gt;V19,"&lt;&gt;","ok")))</f>
        <v>N/A</v>
      </c>
      <c r="BN28" s="103"/>
      <c r="BO28" s="106" t="str">
        <f>IF(OR(ISBLANK(X18),ISBLANK(X19),ISBLANK(X20)),"N/A",IF(X18&lt;X20,"&lt;&gt;",IF(X18&gt;X19,"&lt;&gt;","ok")))</f>
        <v>N/A</v>
      </c>
      <c r="BP28" s="103"/>
      <c r="BQ28" s="106" t="str">
        <f>IF(OR(ISBLANK(Z18),ISBLANK(Z19),ISBLANK(Z20)),"N/A",IF(Z18&lt;Z20,"&lt;&gt;",IF(Z18&gt;Z19,"&lt;&gt;","ok")))</f>
        <v>N/A</v>
      </c>
      <c r="BR28" s="103"/>
      <c r="BS28" s="106" t="str">
        <f>IF(OR(ISBLANK(AB18),ISBLANK(AB19),ISBLANK(AB20)),"N/A",IF(AB18&lt;AB20,"&lt;&gt;",IF(AB18&gt;AB19,"&lt;&gt;","ok")))</f>
        <v>N/A</v>
      </c>
      <c r="BT28" s="103"/>
      <c r="BU28" s="106" t="str">
        <f>IF(OR(ISBLANK(AD18),ISBLANK(AD19),ISBLANK(AD20)),"N/A",IF(AD18&lt;AD20,"&lt;&gt;",IF(AD18&gt;AD19,"&lt;&gt;","ok")))</f>
        <v>N/A</v>
      </c>
      <c r="BV28" s="103"/>
      <c r="BW28" s="106" t="str">
        <f>IF(OR(ISBLANK(AF18),ISBLANK(AF19),ISBLANK(AF20)),"N/A",IF(AF18&lt;AF20,"&lt;&gt;",IF(AF18&gt;AF19,"&lt;&gt;","ok")))</f>
        <v>N/A</v>
      </c>
      <c r="BX28" s="103"/>
      <c r="BY28" s="106" t="str">
        <f>IF(OR(ISBLANK(AH18),ISBLANK(AH19),ISBLANK(AH20)),"N/A",IF(AH18&lt;AH20,"&lt;&gt;",IF(AH18&gt;AH19,"&lt;&gt;","ok")))</f>
        <v>N/A</v>
      </c>
      <c r="BZ28" s="103"/>
      <c r="CA28" s="106" t="str">
        <f>IF(OR(ISBLANK(AJ18),ISBLANK(AJ19),ISBLANK(AJ20)),"N/A",IF(AJ18&lt;AJ20,"&lt;&gt;",IF(AJ18&gt;AJ19,"&lt;&gt;","ok")))</f>
        <v>N/A</v>
      </c>
      <c r="CB28" s="103"/>
      <c r="CC28" s="106" t="str">
        <f>IF(OR(ISBLANK(AL18),ISBLANK(AL19),ISBLANK(AL20)),"N/A",IF(AL18&lt;AL20,"&lt;&gt;",IF(AL18&gt;AL19,"&lt;&gt;","ok")))</f>
        <v>N/A</v>
      </c>
      <c r="CD28" s="103"/>
      <c r="CE28" s="106" t="str">
        <f>IF(OR(ISBLANK(AN18),ISBLANK(AN19),ISBLANK(AN20)),"N/A",IF(AN18&lt;AN20,"&lt;&gt;",IF(AN18&gt;AN19,"&lt;&gt;","ok")))</f>
        <v>N/A</v>
      </c>
      <c r="CF28" s="103"/>
      <c r="CG28" s="106" t="str">
        <f>IF(OR(ISBLANK(AP18),ISBLANK(AP19),ISBLANK(AP20)),"N/A",IF(AP18&lt;AP20,"&lt;&gt;",IF(AP18&gt;AP19,"&lt;&gt;","ok")))</f>
        <v>N/A</v>
      </c>
      <c r="CH28" s="298"/>
      <c r="CI28" s="312"/>
      <c r="CJ28" s="312"/>
      <c r="CK28" s="312"/>
      <c r="CL28" s="312"/>
      <c r="CM28" s="312"/>
      <c r="CN28" s="312"/>
      <c r="CO28" s="312"/>
      <c r="CP28" s="312"/>
      <c r="CQ28" s="312"/>
      <c r="CR28" s="312"/>
      <c r="CS28" s="312"/>
      <c r="CT28" s="312"/>
      <c r="CU28" s="312"/>
      <c r="CV28" s="312"/>
      <c r="CW28" s="312"/>
    </row>
    <row r="29" spans="1:101" ht="3.75" customHeight="1">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507"/>
      <c r="AG29" s="507"/>
      <c r="AH29" s="507"/>
      <c r="AI29" s="507"/>
      <c r="AJ29" s="507"/>
      <c r="AK29" s="507"/>
      <c r="AL29" s="507"/>
      <c r="AM29" s="507"/>
      <c r="AN29" s="507"/>
      <c r="AO29" s="507"/>
      <c r="AP29" s="316"/>
      <c r="AQ29" s="508"/>
      <c r="AR29" s="316"/>
      <c r="AS29" s="505"/>
      <c r="AT29" s="87"/>
      <c r="AU29" s="509"/>
      <c r="AV29" s="87"/>
      <c r="AW29" s="87"/>
      <c r="AX29" s="272"/>
      <c r="AY29" s="88"/>
      <c r="AZ29" s="272"/>
      <c r="BA29" s="88"/>
      <c r="BB29" s="272"/>
      <c r="BC29" s="88"/>
      <c r="BD29" s="272"/>
      <c r="BE29" s="88"/>
      <c r="BF29" s="272"/>
      <c r="BG29" s="87"/>
      <c r="BH29" s="272"/>
      <c r="BI29" s="87"/>
      <c r="BJ29" s="272"/>
      <c r="BK29" s="87"/>
      <c r="BL29" s="272"/>
      <c r="BM29" s="87"/>
      <c r="BN29" s="272"/>
      <c r="BO29" s="87"/>
      <c r="BP29" s="272"/>
      <c r="BQ29" s="87"/>
      <c r="BR29" s="272"/>
      <c r="BS29" s="87"/>
      <c r="BT29" s="272"/>
      <c r="BU29" s="87"/>
      <c r="BV29" s="272"/>
      <c r="BW29" s="87"/>
      <c r="BX29" s="272"/>
      <c r="BY29" s="87"/>
      <c r="BZ29" s="272"/>
      <c r="CA29" s="87"/>
      <c r="CB29" s="272"/>
      <c r="CC29" s="87"/>
      <c r="CD29" s="272"/>
      <c r="CE29" s="87"/>
      <c r="CF29" s="272"/>
      <c r="CG29" s="87"/>
      <c r="CH29" s="288"/>
      <c r="CI29" s="312"/>
      <c r="CJ29" s="312"/>
      <c r="CK29" s="312"/>
      <c r="CL29" s="312"/>
      <c r="CM29" s="312"/>
      <c r="CN29" s="312"/>
      <c r="CO29" s="312"/>
      <c r="CP29" s="312"/>
      <c r="CQ29" s="312"/>
      <c r="CR29" s="312"/>
      <c r="CS29" s="312"/>
      <c r="CT29" s="312"/>
      <c r="CU29" s="312"/>
      <c r="CV29" s="312"/>
      <c r="CW29" s="312"/>
    </row>
    <row r="30" spans="1:101" ht="33.75" customHeight="1">
      <c r="A30" s="307"/>
      <c r="B30" s="307"/>
      <c r="C30" s="305"/>
      <c r="D30" s="322"/>
      <c r="E30" s="818" t="str">
        <f>D8&amp;" (W3, 1)"</f>
        <v>Gross freshwater supplied by water supply industry (ISIC 36) (W3, 1)</v>
      </c>
      <c r="F30" s="835"/>
      <c r="G30" s="835"/>
      <c r="H30" s="835"/>
      <c r="I30" s="835"/>
      <c r="J30" s="835"/>
      <c r="K30" s="835"/>
      <c r="L30" s="835"/>
      <c r="M30" s="835"/>
      <c r="N30" s="835"/>
      <c r="O30" s="835"/>
      <c r="P30" s="835"/>
      <c r="Q30" s="835"/>
      <c r="R30" s="835"/>
      <c r="S30" s="835"/>
      <c r="T30" s="836"/>
      <c r="U30" s="319"/>
      <c r="V30" s="318"/>
      <c r="W30" s="318"/>
      <c r="X30" s="818" t="str">
        <f>LEFT(D10,LEN(D10)-21)&amp;" (W3,3)"</f>
        <v>Net freshwater supplied by water supply industry (ISIC 36) (W3,3)</v>
      </c>
      <c r="Y30" s="827"/>
      <c r="Z30" s="828"/>
      <c r="AA30" s="510"/>
      <c r="AB30" s="817" t="str">
        <f>D11</f>
        <v>of which supplied to:</v>
      </c>
      <c r="AC30" s="817"/>
      <c r="AD30" s="316"/>
      <c r="AE30" s="316"/>
      <c r="AF30" s="824" t="str">
        <f>D13&amp;" (W3,5)"</f>
        <v>Agriculture, forestry and fishing (ISIC 01-03) (W3,5)</v>
      </c>
      <c r="AG30" s="825"/>
      <c r="AH30" s="825"/>
      <c r="AI30" s="825"/>
      <c r="AJ30" s="825"/>
      <c r="AK30" s="825"/>
      <c r="AL30" s="825"/>
      <c r="AM30" s="825"/>
      <c r="AN30" s="825"/>
      <c r="AO30" s="826"/>
      <c r="AP30" s="503"/>
      <c r="AQ30" s="504"/>
      <c r="AR30" s="316"/>
      <c r="AS30" s="505"/>
      <c r="AT30" s="345" t="s">
        <v>68</v>
      </c>
      <c r="AU30" s="346" t="s">
        <v>69</v>
      </c>
      <c r="CH30" s="448"/>
      <c r="CI30" s="312"/>
      <c r="CJ30" s="312"/>
      <c r="CK30" s="312"/>
      <c r="CL30" s="312"/>
      <c r="CM30" s="312"/>
      <c r="CN30" s="312"/>
      <c r="CO30" s="312"/>
      <c r="CP30" s="312"/>
      <c r="CQ30" s="312"/>
      <c r="CR30" s="312"/>
      <c r="CS30" s="312"/>
      <c r="CT30" s="312"/>
      <c r="CU30" s="312"/>
      <c r="CV30" s="312"/>
      <c r="CW30" s="312"/>
    </row>
    <row r="31" spans="1:101" ht="2.25" customHeight="1">
      <c r="A31" s="307"/>
      <c r="B31" s="307"/>
      <c r="C31" s="305"/>
      <c r="D31" s="322"/>
      <c r="E31" s="837"/>
      <c r="F31" s="838"/>
      <c r="G31" s="838"/>
      <c r="H31" s="838"/>
      <c r="I31" s="838"/>
      <c r="J31" s="838"/>
      <c r="K31" s="838"/>
      <c r="L31" s="838"/>
      <c r="M31" s="838"/>
      <c r="N31" s="838"/>
      <c r="O31" s="838"/>
      <c r="P31" s="838"/>
      <c r="Q31" s="838"/>
      <c r="R31" s="838"/>
      <c r="S31" s="838"/>
      <c r="T31" s="839"/>
      <c r="U31" s="319"/>
      <c r="V31" s="318"/>
      <c r="W31" s="318"/>
      <c r="X31" s="829"/>
      <c r="Y31" s="830"/>
      <c r="Z31" s="831"/>
      <c r="AA31" s="510"/>
      <c r="AB31" s="510"/>
      <c r="AC31" s="510"/>
      <c r="AD31" s="316"/>
      <c r="AE31" s="316"/>
      <c r="AF31" s="507"/>
      <c r="AG31" s="507"/>
      <c r="AH31" s="507"/>
      <c r="AI31" s="507"/>
      <c r="AJ31" s="507"/>
      <c r="AK31" s="507"/>
      <c r="AL31" s="507"/>
      <c r="AM31" s="507"/>
      <c r="AN31" s="507"/>
      <c r="AO31" s="507"/>
      <c r="AP31" s="316"/>
      <c r="AQ31" s="508"/>
      <c r="AR31" s="316"/>
      <c r="AS31" s="505"/>
      <c r="AV31" s="104"/>
      <c r="AW31" s="104"/>
      <c r="AX31" s="448"/>
      <c r="AY31" s="122"/>
      <c r="AZ31" s="448"/>
      <c r="BA31" s="122"/>
      <c r="BB31" s="448"/>
      <c r="BC31" s="122"/>
      <c r="BD31" s="448"/>
      <c r="BE31" s="122"/>
      <c r="BF31" s="448"/>
      <c r="BG31" s="104"/>
      <c r="BH31" s="448"/>
      <c r="BI31" s="104"/>
      <c r="BJ31" s="448"/>
      <c r="BK31" s="104"/>
      <c r="BL31" s="448"/>
      <c r="BM31" s="104"/>
      <c r="BN31" s="448"/>
      <c r="BO31" s="104"/>
      <c r="BP31" s="448"/>
      <c r="BQ31" s="104"/>
      <c r="BR31" s="448"/>
      <c r="BS31" s="104"/>
      <c r="BT31" s="448"/>
      <c r="BU31" s="104"/>
      <c r="BV31" s="448"/>
      <c r="BW31" s="104"/>
      <c r="BX31" s="448"/>
      <c r="BY31" s="104"/>
      <c r="BZ31" s="448"/>
      <c r="CA31" s="104"/>
      <c r="CB31" s="448"/>
      <c r="CC31" s="104"/>
      <c r="CD31" s="448"/>
      <c r="CE31" s="104"/>
      <c r="CF31" s="448"/>
      <c r="CG31" s="104"/>
      <c r="CH31" s="448"/>
      <c r="CI31" s="312"/>
      <c r="CJ31" s="312"/>
      <c r="CK31" s="312"/>
      <c r="CL31" s="312"/>
      <c r="CM31" s="312"/>
      <c r="CN31" s="312"/>
      <c r="CO31" s="312"/>
      <c r="CP31" s="312"/>
      <c r="CQ31" s="312"/>
      <c r="CR31" s="312"/>
      <c r="CS31" s="312"/>
      <c r="CT31" s="312"/>
      <c r="CU31" s="312"/>
      <c r="CV31" s="312"/>
      <c r="CW31" s="312"/>
    </row>
    <row r="32" spans="1:101" ht="28.5" customHeight="1">
      <c r="A32" s="307"/>
      <c r="B32" s="307"/>
      <c r="C32" s="305"/>
      <c r="D32" s="320"/>
      <c r="E32" s="840"/>
      <c r="F32" s="841"/>
      <c r="G32" s="841"/>
      <c r="H32" s="841"/>
      <c r="I32" s="841"/>
      <c r="J32" s="841"/>
      <c r="K32" s="841"/>
      <c r="L32" s="841"/>
      <c r="M32" s="841"/>
      <c r="N32" s="841"/>
      <c r="O32" s="841"/>
      <c r="P32" s="841"/>
      <c r="Q32" s="841"/>
      <c r="R32" s="841"/>
      <c r="S32" s="841"/>
      <c r="T32" s="842"/>
      <c r="U32" s="319"/>
      <c r="V32" s="318"/>
      <c r="W32" s="318"/>
      <c r="X32" s="832"/>
      <c r="Y32" s="833"/>
      <c r="Z32" s="834"/>
      <c r="AA32" s="316"/>
      <c r="AB32" s="316"/>
      <c r="AC32" s="316"/>
      <c r="AD32" s="316"/>
      <c r="AE32" s="316"/>
      <c r="AF32" s="824" t="str">
        <f>D14&amp;" (W3,6)"</f>
        <v>Manufacturing (ISIC 10-33) (W3,6)</v>
      </c>
      <c r="AG32" s="825"/>
      <c r="AH32" s="825"/>
      <c r="AI32" s="825"/>
      <c r="AJ32" s="825"/>
      <c r="AK32" s="825"/>
      <c r="AL32" s="825"/>
      <c r="AM32" s="825"/>
      <c r="AN32" s="825"/>
      <c r="AO32" s="826"/>
      <c r="AP32" s="503"/>
      <c r="AQ32" s="504"/>
      <c r="AR32" s="316"/>
      <c r="AS32" s="505"/>
      <c r="AT32" s="345" t="s">
        <v>70</v>
      </c>
      <c r="AU32" s="346" t="s">
        <v>71</v>
      </c>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48"/>
      <c r="CI32" s="312"/>
      <c r="CJ32" s="312"/>
      <c r="CK32" s="312"/>
      <c r="CL32" s="312"/>
      <c r="CM32" s="312"/>
      <c r="CN32" s="312"/>
      <c r="CO32" s="312"/>
      <c r="CP32" s="312"/>
      <c r="CQ32" s="312"/>
      <c r="CR32" s="312"/>
      <c r="CS32" s="312"/>
      <c r="CT32" s="312"/>
      <c r="CU32" s="312"/>
      <c r="CV32" s="312"/>
      <c r="CW32" s="312"/>
    </row>
    <row r="33" spans="1:101" ht="2.25" customHeight="1">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6"/>
      <c r="AB33" s="316"/>
      <c r="AC33" s="316"/>
      <c r="AD33" s="316"/>
      <c r="AE33" s="316"/>
      <c r="AF33" s="507"/>
      <c r="AG33" s="507"/>
      <c r="AH33" s="507"/>
      <c r="AI33" s="507"/>
      <c r="AJ33" s="507"/>
      <c r="AK33" s="507"/>
      <c r="AL33" s="507"/>
      <c r="AM33" s="507"/>
      <c r="AN33" s="507"/>
      <c r="AO33" s="507"/>
      <c r="AP33" s="316"/>
      <c r="AQ33" s="508"/>
      <c r="AR33" s="316"/>
      <c r="AS33" s="505"/>
      <c r="AV33" s="104"/>
      <c r="AW33" s="104"/>
      <c r="AX33" s="448"/>
      <c r="AY33" s="122"/>
      <c r="AZ33" s="448"/>
      <c r="BA33" s="122"/>
      <c r="BB33" s="448"/>
      <c r="BC33" s="122"/>
      <c r="BD33" s="448"/>
      <c r="BE33" s="122"/>
      <c r="BF33" s="448"/>
      <c r="BG33" s="104"/>
      <c r="BH33" s="448"/>
      <c r="BI33" s="104"/>
      <c r="BJ33" s="448"/>
      <c r="BK33" s="104"/>
      <c r="BL33" s="448"/>
      <c r="BM33" s="104"/>
      <c r="BN33" s="448"/>
      <c r="BO33" s="104"/>
      <c r="BP33" s="448"/>
      <c r="BQ33" s="104"/>
      <c r="BR33" s="448"/>
      <c r="BS33" s="104"/>
      <c r="BT33" s="448"/>
      <c r="BU33" s="104"/>
      <c r="BV33" s="448"/>
      <c r="BW33" s="104"/>
      <c r="BX33" s="448"/>
      <c r="BY33" s="104"/>
      <c r="BZ33" s="448"/>
      <c r="CA33" s="104"/>
      <c r="CB33" s="448"/>
      <c r="CC33" s="104"/>
      <c r="CD33" s="448"/>
      <c r="CE33" s="104"/>
      <c r="CF33" s="448"/>
      <c r="CG33" s="104"/>
      <c r="CH33" s="448"/>
      <c r="CI33" s="312"/>
      <c r="CJ33" s="312"/>
      <c r="CK33" s="312"/>
      <c r="CL33" s="312"/>
      <c r="CM33" s="312"/>
      <c r="CN33" s="312"/>
      <c r="CO33" s="312"/>
      <c r="CP33" s="312"/>
      <c r="CQ33" s="312"/>
      <c r="CR33" s="312"/>
      <c r="CS33" s="312"/>
      <c r="CT33" s="312"/>
      <c r="CU33" s="312"/>
      <c r="CV33" s="312"/>
      <c r="CW33" s="312"/>
    </row>
    <row r="34" spans="1:101" ht="24" customHeight="1">
      <c r="A34" s="307"/>
      <c r="B34" s="307"/>
      <c r="C34" s="305"/>
      <c r="D34" s="316"/>
      <c r="E34" s="319"/>
      <c r="F34" s="319"/>
      <c r="G34" s="319"/>
      <c r="H34" s="319"/>
      <c r="I34" s="319"/>
      <c r="J34" s="319"/>
      <c r="K34" s="319"/>
      <c r="L34" s="319"/>
      <c r="M34" s="319"/>
      <c r="N34" s="319"/>
      <c r="O34" s="319"/>
      <c r="P34" s="319"/>
      <c r="Q34" s="319"/>
      <c r="R34" s="511"/>
      <c r="S34" s="325"/>
      <c r="T34" s="325"/>
      <c r="U34" s="319"/>
      <c r="V34" s="319"/>
      <c r="W34" s="319"/>
      <c r="X34" s="319"/>
      <c r="Y34" s="319"/>
      <c r="Z34" s="319"/>
      <c r="AA34" s="316"/>
      <c r="AB34" s="316"/>
      <c r="AC34" s="316"/>
      <c r="AD34" s="316"/>
      <c r="AE34" s="316"/>
      <c r="AF34" s="824" t="str">
        <f>D15&amp;" (W3,7)"</f>
        <v>Electricity industry (ISIC 351) (W3,7)</v>
      </c>
      <c r="AG34" s="825"/>
      <c r="AH34" s="825"/>
      <c r="AI34" s="825"/>
      <c r="AJ34" s="825"/>
      <c r="AK34" s="825"/>
      <c r="AL34" s="825"/>
      <c r="AM34" s="825"/>
      <c r="AN34" s="825"/>
      <c r="AO34" s="826"/>
      <c r="AP34" s="503"/>
      <c r="AQ34" s="504"/>
      <c r="AR34" s="316"/>
      <c r="AS34" s="505"/>
      <c r="AT34" s="347" t="s">
        <v>73</v>
      </c>
      <c r="AU34" s="346" t="s">
        <v>75</v>
      </c>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104"/>
      <c r="CI34" s="312"/>
      <c r="CJ34" s="312"/>
      <c r="CK34" s="312"/>
      <c r="CL34" s="312"/>
      <c r="CM34" s="312"/>
      <c r="CN34" s="312"/>
      <c r="CO34" s="312"/>
      <c r="CP34" s="312"/>
      <c r="CQ34" s="312"/>
      <c r="CR34" s="312"/>
      <c r="CS34" s="312"/>
      <c r="CT34" s="312"/>
      <c r="CU34" s="312"/>
      <c r="CV34" s="312"/>
      <c r="CW34" s="312"/>
    </row>
    <row r="35" spans="1:101" ht="2.25" customHeight="1">
      <c r="A35" s="307"/>
      <c r="B35" s="307"/>
      <c r="C35" s="305"/>
      <c r="D35" s="316"/>
      <c r="E35" s="319"/>
      <c r="F35" s="319"/>
      <c r="G35" s="319"/>
      <c r="H35" s="319"/>
      <c r="I35" s="319"/>
      <c r="J35" s="319"/>
      <c r="K35" s="319"/>
      <c r="L35" s="319"/>
      <c r="M35" s="319"/>
      <c r="N35" s="319"/>
      <c r="O35" s="319"/>
      <c r="P35" s="319"/>
      <c r="Q35" s="319"/>
      <c r="R35" s="504"/>
      <c r="S35" s="317"/>
      <c r="T35" s="818" t="str">
        <f>D9&amp;" (W3, 2)"</f>
        <v>Losses during transport by ISIC 36 (W3, 2)</v>
      </c>
      <c r="U35" s="819"/>
      <c r="V35" s="819"/>
      <c r="W35" s="819"/>
      <c r="X35" s="819"/>
      <c r="Y35" s="820"/>
      <c r="Z35" s="319"/>
      <c r="AA35" s="316"/>
      <c r="AB35" s="316"/>
      <c r="AC35" s="316"/>
      <c r="AD35" s="316"/>
      <c r="AE35" s="316"/>
      <c r="AF35" s="507"/>
      <c r="AG35" s="507"/>
      <c r="AH35" s="507"/>
      <c r="AI35" s="507"/>
      <c r="AJ35" s="507"/>
      <c r="AK35" s="507"/>
      <c r="AL35" s="507"/>
      <c r="AM35" s="507"/>
      <c r="AN35" s="507"/>
      <c r="AO35" s="507"/>
      <c r="AP35" s="316"/>
      <c r="AQ35" s="508"/>
      <c r="AR35" s="316"/>
      <c r="AS35" s="505"/>
      <c r="AT35" s="104"/>
      <c r="AU35" s="512"/>
      <c r="AV35" s="104"/>
      <c r="AW35" s="104"/>
      <c r="AX35" s="448"/>
      <c r="AY35" s="122"/>
      <c r="AZ35" s="448"/>
      <c r="BA35" s="122"/>
      <c r="BB35" s="448"/>
      <c r="BC35" s="122"/>
      <c r="BD35" s="448"/>
      <c r="BE35" s="122"/>
      <c r="BF35" s="448"/>
      <c r="BG35" s="104"/>
      <c r="BH35" s="448"/>
      <c r="BI35" s="104"/>
      <c r="BJ35" s="448"/>
      <c r="BK35" s="104"/>
      <c r="BL35" s="448"/>
      <c r="BM35" s="104"/>
      <c r="BN35" s="448"/>
      <c r="BO35" s="104"/>
      <c r="BP35" s="448"/>
      <c r="BQ35" s="104"/>
      <c r="BR35" s="448"/>
      <c r="BS35" s="104"/>
      <c r="BT35" s="448"/>
      <c r="BU35" s="104"/>
      <c r="BV35" s="448"/>
      <c r="BW35" s="104"/>
      <c r="BX35" s="448"/>
      <c r="BY35" s="104"/>
      <c r="BZ35" s="448"/>
      <c r="CA35" s="104"/>
      <c r="CB35" s="448"/>
      <c r="CC35" s="104"/>
      <c r="CD35" s="448"/>
      <c r="CE35" s="104"/>
      <c r="CF35" s="448"/>
      <c r="CG35" s="104"/>
      <c r="CH35" s="448"/>
      <c r="CI35" s="312"/>
      <c r="CJ35" s="312"/>
      <c r="CK35" s="312"/>
      <c r="CL35" s="312"/>
      <c r="CM35" s="312"/>
      <c r="CN35" s="312"/>
      <c r="CO35" s="312"/>
      <c r="CP35" s="312"/>
      <c r="CQ35" s="312"/>
      <c r="CR35" s="312"/>
      <c r="CS35" s="312"/>
      <c r="CT35" s="312"/>
      <c r="CU35" s="312"/>
      <c r="CV35" s="312"/>
      <c r="CW35" s="312"/>
    </row>
    <row r="36" spans="1:101" ht="36" customHeight="1">
      <c r="A36" s="307"/>
      <c r="B36" s="307"/>
      <c r="C36" s="305"/>
      <c r="D36" s="316"/>
      <c r="E36" s="319"/>
      <c r="F36" s="319"/>
      <c r="G36" s="319"/>
      <c r="H36" s="319"/>
      <c r="I36" s="319"/>
      <c r="J36" s="319"/>
      <c r="K36" s="319"/>
      <c r="L36" s="319"/>
      <c r="M36" s="319"/>
      <c r="N36" s="319"/>
      <c r="O36" s="319"/>
      <c r="P36" s="319"/>
      <c r="Q36" s="319"/>
      <c r="R36" s="504"/>
      <c r="S36" s="631"/>
      <c r="T36" s="821"/>
      <c r="U36" s="822"/>
      <c r="V36" s="822"/>
      <c r="W36" s="822"/>
      <c r="X36" s="822"/>
      <c r="Y36" s="823"/>
      <c r="Z36" s="319"/>
      <c r="AA36" s="316"/>
      <c r="AB36" s="316"/>
      <c r="AC36" s="316"/>
      <c r="AD36" s="316"/>
      <c r="AE36" s="316"/>
      <c r="AF36" s="824" t="str">
        <f>D16&amp;" (W3,8)"</f>
        <v>Other economic activities (W3,8)</v>
      </c>
      <c r="AG36" s="825"/>
      <c r="AH36" s="825"/>
      <c r="AI36" s="825"/>
      <c r="AJ36" s="825"/>
      <c r="AK36" s="825"/>
      <c r="AL36" s="825"/>
      <c r="AM36" s="825"/>
      <c r="AN36" s="825"/>
      <c r="AO36" s="826"/>
      <c r="AP36" s="503"/>
      <c r="AQ36" s="504"/>
      <c r="AR36" s="316"/>
      <c r="AS36" s="505"/>
      <c r="AT36" s="347" t="s">
        <v>72</v>
      </c>
      <c r="AU36" s="346" t="s">
        <v>14</v>
      </c>
      <c r="AV36" s="104"/>
      <c r="AW36" s="104"/>
      <c r="AX36" s="448"/>
      <c r="AY36" s="122"/>
      <c r="AZ36" s="448"/>
      <c r="BA36" s="122"/>
      <c r="BB36" s="448"/>
      <c r="BC36" s="122"/>
      <c r="BD36" s="448"/>
      <c r="BE36" s="122"/>
      <c r="BF36" s="448"/>
      <c r="BG36" s="104"/>
      <c r="BH36" s="448"/>
      <c r="BI36" s="104"/>
      <c r="BJ36" s="448"/>
      <c r="BK36" s="104"/>
      <c r="BL36" s="448"/>
      <c r="BM36" s="104"/>
      <c r="BN36" s="448"/>
      <c r="BO36" s="104"/>
      <c r="BP36" s="448"/>
      <c r="BQ36" s="104"/>
      <c r="BR36" s="448"/>
      <c r="BS36" s="104"/>
      <c r="BT36" s="448"/>
      <c r="BU36" s="104"/>
      <c r="BV36" s="448"/>
      <c r="BW36" s="104"/>
      <c r="BX36" s="448"/>
      <c r="BY36" s="104"/>
      <c r="BZ36" s="448"/>
      <c r="CA36" s="104"/>
      <c r="CB36" s="448"/>
      <c r="CC36" s="104"/>
      <c r="CD36" s="448"/>
      <c r="CE36" s="104"/>
      <c r="CF36" s="448"/>
      <c r="CG36" s="104"/>
      <c r="CH36" s="448"/>
      <c r="CI36" s="312"/>
      <c r="CJ36" s="312"/>
      <c r="CK36" s="312"/>
      <c r="CL36" s="312"/>
      <c r="CM36" s="312"/>
      <c r="CN36" s="312"/>
      <c r="CO36" s="312"/>
      <c r="CP36" s="312"/>
      <c r="CQ36" s="312"/>
      <c r="CR36" s="312"/>
      <c r="CS36" s="312"/>
      <c r="CT36" s="312"/>
      <c r="CU36" s="312"/>
      <c r="CV36" s="312"/>
      <c r="CW36" s="312"/>
    </row>
    <row r="37" spans="1:86" s="220" customFormat="1" ht="18" customHeight="1">
      <c r="A37" s="198"/>
      <c r="B37" s="199"/>
      <c r="C37" s="432"/>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4"/>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86" s="468" customFormat="1" ht="15.75">
      <c r="A38" s="467"/>
      <c r="B38" s="454">
        <v>1</v>
      </c>
      <c r="C38" s="331" t="s">
        <v>371</v>
      </c>
      <c r="D38" s="433"/>
      <c r="E38" s="331"/>
      <c r="F38" s="231"/>
      <c r="G38" s="231"/>
      <c r="H38" s="334"/>
      <c r="I38" s="335"/>
      <c r="J38" s="336"/>
      <c r="K38" s="335"/>
      <c r="L38" s="336"/>
      <c r="M38" s="335"/>
      <c r="N38" s="336"/>
      <c r="O38" s="335"/>
      <c r="P38" s="336"/>
      <c r="Q38" s="335"/>
      <c r="R38" s="334"/>
      <c r="S38" s="335"/>
      <c r="T38" s="334"/>
      <c r="U38" s="335"/>
      <c r="V38" s="334"/>
      <c r="W38" s="335"/>
      <c r="X38" s="334"/>
      <c r="Y38" s="335"/>
      <c r="Z38" s="334"/>
      <c r="AA38" s="434"/>
      <c r="AB38" s="334"/>
      <c r="AC38" s="335"/>
      <c r="AD38" s="336"/>
      <c r="AE38" s="335"/>
      <c r="AF38" s="334"/>
      <c r="AG38" s="335"/>
      <c r="AH38" s="334"/>
      <c r="AI38" s="335"/>
      <c r="AJ38" s="335"/>
      <c r="AK38" s="335"/>
      <c r="AL38" s="335"/>
      <c r="AM38" s="335"/>
      <c r="AN38" s="387"/>
      <c r="AO38" s="386"/>
      <c r="AP38" s="387"/>
      <c r="AQ38" s="386"/>
      <c r="AR38" s="474"/>
      <c r="AS38" s="233"/>
      <c r="AT38" s="515"/>
      <c r="AU38" s="515"/>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3:46" ht="2.25" customHeight="1">
      <c r="C39" s="435"/>
      <c r="D39" s="435"/>
      <c r="E39" s="436"/>
      <c r="F39" s="373"/>
      <c r="G39" s="373"/>
      <c r="H39" s="369"/>
      <c r="I39" s="370"/>
      <c r="J39" s="371"/>
      <c r="K39" s="370"/>
      <c r="L39" s="371"/>
      <c r="M39" s="370"/>
      <c r="N39" s="371"/>
      <c r="O39" s="370"/>
      <c r="P39" s="371"/>
      <c r="Q39" s="370"/>
      <c r="R39" s="369"/>
      <c r="S39" s="370"/>
      <c r="T39" s="369"/>
      <c r="U39" s="370"/>
      <c r="V39" s="369"/>
      <c r="W39" s="370"/>
      <c r="X39" s="369"/>
      <c r="Y39" s="370"/>
      <c r="Z39" s="369"/>
      <c r="AA39" s="437"/>
      <c r="AB39" s="369"/>
      <c r="AC39" s="370"/>
      <c r="AD39" s="371"/>
      <c r="AE39" s="370"/>
      <c r="AF39" s="369"/>
      <c r="AG39" s="372"/>
      <c r="AH39" s="367"/>
      <c r="AI39" s="372"/>
      <c r="AJ39" s="372"/>
      <c r="AK39" s="372"/>
      <c r="AL39" s="372"/>
      <c r="AM39" s="372"/>
      <c r="AT39" s="516"/>
    </row>
    <row r="40" spans="3:46" ht="18" customHeight="1">
      <c r="C40" s="342" t="s">
        <v>366</v>
      </c>
      <c r="D40" s="517" t="s">
        <v>369</v>
      </c>
      <c r="E40" s="438"/>
      <c r="F40" s="439"/>
      <c r="G40" s="439"/>
      <c r="H40" s="440"/>
      <c r="I40" s="441"/>
      <c r="J40" s="442"/>
      <c r="K40" s="441"/>
      <c r="L40" s="442"/>
      <c r="M40" s="441"/>
      <c r="N40" s="442"/>
      <c r="O40" s="441"/>
      <c r="P40" s="442"/>
      <c r="Q40" s="441"/>
      <c r="R40" s="440"/>
      <c r="S40" s="441"/>
      <c r="T40" s="440"/>
      <c r="U40" s="441"/>
      <c r="V40" s="440"/>
      <c r="W40" s="441"/>
      <c r="X40" s="440"/>
      <c r="Y40" s="441"/>
      <c r="Z40" s="440"/>
      <c r="AA40" s="443"/>
      <c r="AB40" s="440"/>
      <c r="AC40" s="441"/>
      <c r="AD40" s="442"/>
      <c r="AE40" s="441"/>
      <c r="AF40" s="440"/>
      <c r="AG40" s="441"/>
      <c r="AH40" s="440"/>
      <c r="AI40" s="441"/>
      <c r="AJ40" s="441"/>
      <c r="AK40" s="441"/>
      <c r="AL40" s="441"/>
      <c r="AM40" s="441"/>
      <c r="AN40" s="440"/>
      <c r="AO40" s="441"/>
      <c r="AP40" s="440"/>
      <c r="AQ40" s="441"/>
      <c r="AR40" s="518"/>
      <c r="AS40" s="469"/>
      <c r="AT40" s="516"/>
    </row>
    <row r="41" spans="3:46" ht="18" customHeight="1">
      <c r="C41" s="596"/>
      <c r="D41" s="736"/>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c r="AN41" s="737"/>
      <c r="AO41" s="737"/>
      <c r="AP41" s="737"/>
      <c r="AQ41" s="737"/>
      <c r="AR41" s="738"/>
      <c r="AS41" s="519"/>
      <c r="AT41" s="516"/>
    </row>
    <row r="42" spans="3:46" ht="18" customHeight="1">
      <c r="C42" s="596"/>
      <c r="D42" s="756"/>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8"/>
      <c r="AS42" s="519"/>
      <c r="AT42" s="516"/>
    </row>
    <row r="43" spans="3:46" ht="18" customHeight="1">
      <c r="C43" s="596"/>
      <c r="D43" s="756"/>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8"/>
      <c r="AS43" s="519"/>
      <c r="AT43" s="516"/>
    </row>
    <row r="44" spans="3:46" ht="18" customHeight="1">
      <c r="C44" s="596"/>
      <c r="D44" s="756"/>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8"/>
      <c r="AS44" s="519"/>
      <c r="AT44" s="516"/>
    </row>
    <row r="45" spans="3:46" ht="18" customHeight="1">
      <c r="C45" s="596"/>
      <c r="D45" s="756"/>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8"/>
      <c r="AS45" s="519"/>
      <c r="AT45" s="516"/>
    </row>
    <row r="46" spans="3:46" ht="18" customHeight="1">
      <c r="C46" s="596"/>
      <c r="D46" s="756"/>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8"/>
      <c r="AS46" s="519"/>
      <c r="AT46" s="516"/>
    </row>
    <row r="47" spans="3:46" ht="18" customHeight="1">
      <c r="C47" s="596"/>
      <c r="D47" s="756"/>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8"/>
      <c r="AS47" s="519"/>
      <c r="AT47" s="516"/>
    </row>
    <row r="48" spans="3:46" ht="18" customHeight="1">
      <c r="C48" s="596"/>
      <c r="D48" s="756"/>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8"/>
      <c r="AS48" s="519"/>
      <c r="AT48" s="516"/>
    </row>
    <row r="49" spans="3:86" ht="18" customHeight="1">
      <c r="C49" s="596"/>
      <c r="D49" s="756"/>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8"/>
      <c r="AS49" s="51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row>
    <row r="50" spans="3:86" ht="18" customHeight="1">
      <c r="C50" s="596"/>
      <c r="D50" s="756"/>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8"/>
      <c r="AS50" s="51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row>
    <row r="51" spans="3:86" ht="18" customHeight="1">
      <c r="C51" s="596"/>
      <c r="D51" s="756"/>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8"/>
      <c r="AS51" s="51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row>
    <row r="52" spans="3:45" ht="18" customHeight="1">
      <c r="C52" s="596"/>
      <c r="D52" s="756"/>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8"/>
      <c r="AS52" s="519"/>
    </row>
    <row r="53" spans="3:45" ht="18" customHeight="1">
      <c r="C53" s="596"/>
      <c r="D53" s="756"/>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8"/>
      <c r="AS53" s="519"/>
    </row>
    <row r="54" spans="3:45" ht="18" customHeight="1">
      <c r="C54" s="596"/>
      <c r="D54" s="756"/>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8"/>
      <c r="AS54" s="519"/>
    </row>
    <row r="55" spans="3:45" ht="18" customHeight="1">
      <c r="C55" s="596"/>
      <c r="D55" s="756"/>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8"/>
      <c r="AS55" s="519"/>
    </row>
    <row r="56" spans="3:45" ht="18" customHeight="1">
      <c r="C56" s="596"/>
      <c r="D56" s="756"/>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8"/>
      <c r="AS56" s="519"/>
    </row>
    <row r="57" spans="3:45" ht="18" customHeight="1">
      <c r="C57" s="596"/>
      <c r="D57" s="756"/>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8"/>
      <c r="AS57" s="519"/>
    </row>
    <row r="58" spans="3:45" ht="18" customHeight="1">
      <c r="C58" s="596"/>
      <c r="D58" s="756"/>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8"/>
      <c r="AS58" s="519"/>
    </row>
    <row r="59" spans="3:45" ht="18" customHeight="1">
      <c r="C59" s="596"/>
      <c r="D59" s="756"/>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8"/>
      <c r="AS59" s="519"/>
    </row>
    <row r="60" spans="3:45" ht="18" customHeight="1">
      <c r="C60" s="596"/>
      <c r="D60" s="756"/>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c r="AO60" s="757"/>
      <c r="AP60" s="757"/>
      <c r="AQ60" s="757"/>
      <c r="AR60" s="758"/>
      <c r="AS60" s="519"/>
    </row>
    <row r="61" spans="3:45" ht="18" customHeight="1">
      <c r="C61" s="658"/>
      <c r="D61" s="756"/>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8"/>
      <c r="AS61" s="519"/>
    </row>
    <row r="62" spans="3:45" ht="18" customHeight="1">
      <c r="C62" s="656"/>
      <c r="D62" s="767"/>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9"/>
      <c r="AS62" s="519"/>
    </row>
    <row r="63" spans="1:86" s="312" customFormat="1" ht="10.5" customHeight="1">
      <c r="A63" s="520"/>
      <c r="B63" s="458"/>
      <c r="C63" s="468"/>
      <c r="D63" s="468"/>
      <c r="E63" s="211"/>
      <c r="F63" s="349"/>
      <c r="G63" s="349"/>
      <c r="H63" s="239"/>
      <c r="I63" s="240"/>
      <c r="J63" s="241"/>
      <c r="K63" s="240"/>
      <c r="L63" s="241"/>
      <c r="M63" s="240"/>
      <c r="N63" s="241"/>
      <c r="O63" s="240"/>
      <c r="P63" s="241"/>
      <c r="Q63" s="240"/>
      <c r="R63" s="239"/>
      <c r="S63" s="240"/>
      <c r="T63" s="239"/>
      <c r="U63" s="240"/>
      <c r="V63" s="239"/>
      <c r="W63" s="240"/>
      <c r="X63" s="239"/>
      <c r="Y63" s="240"/>
      <c r="Z63" s="239"/>
      <c r="AA63" s="521"/>
      <c r="AB63" s="239"/>
      <c r="AC63" s="240"/>
      <c r="AD63" s="241"/>
      <c r="AE63" s="240"/>
      <c r="AF63" s="239"/>
      <c r="AG63" s="240"/>
      <c r="AH63" s="239"/>
      <c r="AI63" s="372"/>
      <c r="AJ63" s="372"/>
      <c r="AK63" s="372"/>
      <c r="AL63" s="372"/>
      <c r="AM63" s="372"/>
      <c r="AN63" s="367"/>
      <c r="AO63" s="372"/>
      <c r="AP63" s="367"/>
      <c r="AQ63" s="372"/>
      <c r="AS63" s="46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2" customFormat="1" ht="12.75">
      <c r="A64" s="520"/>
      <c r="B64" s="458"/>
      <c r="C64" s="468"/>
      <c r="D64" s="468"/>
      <c r="E64" s="211"/>
      <c r="F64" s="349"/>
      <c r="G64" s="349"/>
      <c r="H64" s="239"/>
      <c r="I64" s="240"/>
      <c r="J64" s="241"/>
      <c r="K64" s="240"/>
      <c r="L64" s="241"/>
      <c r="M64" s="240"/>
      <c r="N64" s="241"/>
      <c r="O64" s="240"/>
      <c r="P64" s="241"/>
      <c r="Q64" s="240"/>
      <c r="R64" s="239"/>
      <c r="S64" s="240"/>
      <c r="T64" s="239"/>
      <c r="U64" s="240"/>
      <c r="V64" s="239"/>
      <c r="W64" s="240"/>
      <c r="X64" s="239"/>
      <c r="Y64" s="240"/>
      <c r="Z64" s="239"/>
      <c r="AA64" s="240"/>
      <c r="AB64" s="239"/>
      <c r="AC64" s="240"/>
      <c r="AD64" s="241"/>
      <c r="AE64" s="240"/>
      <c r="AF64" s="239"/>
      <c r="AG64" s="240"/>
      <c r="AH64" s="239"/>
      <c r="AI64" s="372"/>
      <c r="AJ64" s="372"/>
      <c r="AK64" s="372"/>
      <c r="AL64" s="372"/>
      <c r="AM64" s="372"/>
      <c r="AN64" s="367"/>
      <c r="AO64" s="372"/>
      <c r="AP64" s="367"/>
      <c r="AQ64" s="372"/>
      <c r="AS64" s="46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2" customFormat="1" ht="12.75">
      <c r="A65" s="520"/>
      <c r="B65" s="458"/>
      <c r="C65" s="468"/>
      <c r="D65" s="468"/>
      <c r="E65" s="211"/>
      <c r="F65" s="211"/>
      <c r="G65" s="211"/>
      <c r="H65" s="239"/>
      <c r="I65" s="240"/>
      <c r="J65" s="241"/>
      <c r="K65" s="240"/>
      <c r="L65" s="241"/>
      <c r="M65" s="240"/>
      <c r="N65" s="241"/>
      <c r="O65" s="240"/>
      <c r="P65" s="241"/>
      <c r="Q65" s="240"/>
      <c r="R65" s="239"/>
      <c r="S65" s="240"/>
      <c r="T65" s="239"/>
      <c r="U65" s="240"/>
      <c r="V65" s="239"/>
      <c r="W65" s="240"/>
      <c r="X65" s="239"/>
      <c r="Y65" s="240"/>
      <c r="Z65" s="239"/>
      <c r="AA65" s="240"/>
      <c r="AB65" s="239"/>
      <c r="AC65" s="240"/>
      <c r="AD65" s="241"/>
      <c r="AE65" s="240"/>
      <c r="AF65" s="239"/>
      <c r="AG65" s="240"/>
      <c r="AH65" s="239"/>
      <c r="AI65" s="372"/>
      <c r="AJ65" s="372"/>
      <c r="AK65" s="372"/>
      <c r="AL65" s="372"/>
      <c r="AM65" s="372"/>
      <c r="AN65" s="367"/>
      <c r="AO65" s="372"/>
      <c r="AP65" s="367"/>
      <c r="AQ65" s="372"/>
      <c r="AS65" s="46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3:4" ht="12.75">
      <c r="C66" s="468"/>
      <c r="D66" s="468"/>
    </row>
    <row r="67" spans="3:34" ht="12.75">
      <c r="C67" s="451"/>
      <c r="D67" s="451"/>
      <c r="E67" s="451"/>
      <c r="F67" s="451"/>
      <c r="G67" s="451"/>
      <c r="H67" s="367"/>
      <c r="I67" s="372"/>
      <c r="J67" s="456"/>
      <c r="K67" s="372"/>
      <c r="L67" s="456"/>
      <c r="M67" s="372"/>
      <c r="N67" s="456"/>
      <c r="O67" s="372"/>
      <c r="P67" s="456"/>
      <c r="Q67" s="372"/>
      <c r="R67" s="367"/>
      <c r="S67" s="372"/>
      <c r="T67" s="367"/>
      <c r="U67" s="372"/>
      <c r="V67" s="367"/>
      <c r="W67" s="372"/>
      <c r="X67" s="367"/>
      <c r="Y67" s="372"/>
      <c r="Z67" s="367"/>
      <c r="AA67" s="372"/>
      <c r="AB67" s="367"/>
      <c r="AC67" s="372"/>
      <c r="AD67" s="456"/>
      <c r="AE67" s="372"/>
      <c r="AF67" s="367"/>
      <c r="AG67" s="372"/>
      <c r="AH67" s="367"/>
    </row>
  </sheetData>
  <sheetProtection sheet="1" formatCells="0" formatColumns="0" formatRows="0" insertColumns="0" insertRows="0" insertHyperlinks="0"/>
  <mergeCells count="38">
    <mergeCell ref="AF28:AO28"/>
    <mergeCell ref="AF30:AO30"/>
    <mergeCell ref="AF32:AO32"/>
    <mergeCell ref="D45:AR45"/>
    <mergeCell ref="D42:AR42"/>
    <mergeCell ref="AF34:AO34"/>
    <mergeCell ref="AF36:AO36"/>
    <mergeCell ref="X30:Z32"/>
    <mergeCell ref="E30:T32"/>
    <mergeCell ref="D43:AR43"/>
    <mergeCell ref="D44:AR44"/>
    <mergeCell ref="D41:AR41"/>
    <mergeCell ref="D46:AR46"/>
    <mergeCell ref="D47:AR47"/>
    <mergeCell ref="AB30:AC30"/>
    <mergeCell ref="T35:Y36"/>
    <mergeCell ref="D50:AR50"/>
    <mergeCell ref="D51:AR51"/>
    <mergeCell ref="D52:AR52"/>
    <mergeCell ref="D53:AR53"/>
    <mergeCell ref="D54:AR54"/>
    <mergeCell ref="D55:AR55"/>
    <mergeCell ref="D62:AR62"/>
    <mergeCell ref="D58:AR58"/>
    <mergeCell ref="D59:AR59"/>
    <mergeCell ref="D60:AR60"/>
    <mergeCell ref="D61:AR61"/>
    <mergeCell ref="D27:AR27"/>
    <mergeCell ref="D48:AR48"/>
    <mergeCell ref="D49:AR49"/>
    <mergeCell ref="D56:AR56"/>
    <mergeCell ref="D57:AR57"/>
    <mergeCell ref="AZ3:BC3"/>
    <mergeCell ref="D24:AR24"/>
    <mergeCell ref="D26:AR26"/>
    <mergeCell ref="C5:AH5"/>
    <mergeCell ref="D25:AO25"/>
    <mergeCell ref="D23:AR23"/>
  </mergeCells>
  <conditionalFormatting sqref="BI31 BK31">
    <cfRule type="cellIs" priority="122" dxfId="227" operator="greaterThan" stopIfTrue="1">
      <formula>BI29</formula>
    </cfRule>
  </conditionalFormatting>
  <conditionalFormatting sqref="F10">
    <cfRule type="cellIs" priority="109" dxfId="227" operator="lessThan" stopIfTrue="1">
      <formula>F8-F9</formula>
    </cfRule>
    <cfRule type="cellIs" priority="110" dxfId="227" operator="lessThan" stopIfTrue="1">
      <formula>F12+F13+F14+F15+F16</formula>
    </cfRule>
  </conditionalFormatting>
  <conditionalFormatting sqref="BI29 BK29 BM29 BO29 BQ29 BS29 BU29 BW29 BY29 CA29 CC29 CE29 CG29">
    <cfRule type="cellIs" priority="129" dxfId="227" operator="greaterThan" stopIfTrue="1">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priority="124" dxfId="227" operator="equal" stopIfTrue="1">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priority="123" dxfId="227" operator="equal" stopIfTrue="1">
      <formula>"&gt; 25%"</formula>
    </cfRule>
  </conditionalFormatting>
  <conditionalFormatting sqref="AY8:AY10 AY12:AY16">
    <cfRule type="cellIs" priority="125" dxfId="227" operator="equal" stopIfTrue="1">
      <formula>"&gt; 100%"</formula>
    </cfRule>
  </conditionalFormatting>
  <conditionalFormatting sqref="H10">
    <cfRule type="cellIs" priority="35" dxfId="227" operator="lessThan" stopIfTrue="1">
      <formula>H8-H9</formula>
    </cfRule>
    <cfRule type="cellIs" priority="36" dxfId="227" operator="lessThan" stopIfTrue="1">
      <formula>H12+H13+H14+H15+H16</formula>
    </cfRule>
  </conditionalFormatting>
  <conditionalFormatting sqref="J10">
    <cfRule type="cellIs" priority="33" dxfId="227" operator="lessThan" stopIfTrue="1">
      <formula>J8-J9</formula>
    </cfRule>
    <cfRule type="cellIs" priority="34" dxfId="227" operator="lessThan" stopIfTrue="1">
      <formula>J12+J13+J14+J15+J16</formula>
    </cfRule>
  </conditionalFormatting>
  <conditionalFormatting sqref="L10">
    <cfRule type="cellIs" priority="31" dxfId="227" operator="lessThan" stopIfTrue="1">
      <formula>L8-L9</formula>
    </cfRule>
    <cfRule type="cellIs" priority="32" dxfId="227" operator="lessThan" stopIfTrue="1">
      <formula>L12+L13+L14+L15+L16</formula>
    </cfRule>
  </conditionalFormatting>
  <conditionalFormatting sqref="N10">
    <cfRule type="cellIs" priority="29" dxfId="227" operator="lessThan" stopIfTrue="1">
      <formula>N8-N9</formula>
    </cfRule>
    <cfRule type="cellIs" priority="30" dxfId="227" operator="lessThan" stopIfTrue="1">
      <formula>N12+N13+N14+N15+N16</formula>
    </cfRule>
  </conditionalFormatting>
  <conditionalFormatting sqref="P10">
    <cfRule type="cellIs" priority="27" dxfId="227" operator="lessThan" stopIfTrue="1">
      <formula>P8-P9</formula>
    </cfRule>
    <cfRule type="cellIs" priority="28" dxfId="227" operator="lessThan" stopIfTrue="1">
      <formula>P12+P13+P14+P15+P16</formula>
    </cfRule>
  </conditionalFormatting>
  <conditionalFormatting sqref="R10">
    <cfRule type="cellIs" priority="25" dxfId="227" operator="lessThan" stopIfTrue="1">
      <formula>R8-R9</formula>
    </cfRule>
    <cfRule type="cellIs" priority="26" dxfId="227" operator="lessThan" stopIfTrue="1">
      <formula>R12+R13+R14+R15+R16</formula>
    </cfRule>
  </conditionalFormatting>
  <conditionalFormatting sqref="T10">
    <cfRule type="cellIs" priority="23" dxfId="227" operator="lessThan" stopIfTrue="1">
      <formula>T8-T9</formula>
    </cfRule>
    <cfRule type="cellIs" priority="24" dxfId="227" operator="lessThan" stopIfTrue="1">
      <formula>T12+T13+T14+T15+T16</formula>
    </cfRule>
  </conditionalFormatting>
  <conditionalFormatting sqref="V10">
    <cfRule type="cellIs" priority="21" dxfId="227" operator="lessThan" stopIfTrue="1">
      <formula>V8-V9</formula>
    </cfRule>
    <cfRule type="cellIs" priority="22" dxfId="227" operator="lessThan" stopIfTrue="1">
      <formula>V12+V13+V14+V15+V16</formula>
    </cfRule>
  </conditionalFormatting>
  <conditionalFormatting sqref="X10">
    <cfRule type="cellIs" priority="19" dxfId="227" operator="lessThan" stopIfTrue="1">
      <formula>X8-X9</formula>
    </cfRule>
    <cfRule type="cellIs" priority="20" dxfId="227" operator="lessThan" stopIfTrue="1">
      <formula>X12+X13+X14+X15+X16</formula>
    </cfRule>
  </conditionalFormatting>
  <conditionalFormatting sqref="Z10">
    <cfRule type="cellIs" priority="17" dxfId="227" operator="lessThan" stopIfTrue="1">
      <formula>Z8-Z9</formula>
    </cfRule>
    <cfRule type="cellIs" priority="18" dxfId="227" operator="lessThan" stopIfTrue="1">
      <formula>Z12+Z13+Z14+Z15+Z16</formula>
    </cfRule>
  </conditionalFormatting>
  <conditionalFormatting sqref="AB10">
    <cfRule type="cellIs" priority="15" dxfId="227" operator="lessThan" stopIfTrue="1">
      <formula>AB8-AB9</formula>
    </cfRule>
    <cfRule type="cellIs" priority="16" dxfId="227" operator="lessThan" stopIfTrue="1">
      <formula>AB12+AB13+AB14+AB15+AB16</formula>
    </cfRule>
  </conditionalFormatting>
  <conditionalFormatting sqref="AD10">
    <cfRule type="cellIs" priority="13" dxfId="227" operator="lessThan" stopIfTrue="1">
      <formula>AD8-AD9</formula>
    </cfRule>
    <cfRule type="cellIs" priority="14" dxfId="227" operator="lessThan" stopIfTrue="1">
      <formula>AD12+AD13+AD14+AD15+AD16</formula>
    </cfRule>
  </conditionalFormatting>
  <conditionalFormatting sqref="AF10">
    <cfRule type="cellIs" priority="11" dxfId="227" operator="lessThan" stopIfTrue="1">
      <formula>AF8-AF9</formula>
    </cfRule>
    <cfRule type="cellIs" priority="12" dxfId="227" operator="lessThan" stopIfTrue="1">
      <formula>AF12+AF13+AF14+AF15+AF16</formula>
    </cfRule>
  </conditionalFormatting>
  <conditionalFormatting sqref="AH10">
    <cfRule type="cellIs" priority="9" dxfId="227" operator="lessThan" stopIfTrue="1">
      <formula>AH8-AH9</formula>
    </cfRule>
    <cfRule type="cellIs" priority="10" dxfId="227" operator="lessThan" stopIfTrue="1">
      <formula>AH12+AH13+AH14+AH15+AH16</formula>
    </cfRule>
  </conditionalFormatting>
  <conditionalFormatting sqref="AJ10">
    <cfRule type="cellIs" priority="7" dxfId="227" operator="lessThan" stopIfTrue="1">
      <formula>AJ8-AJ9</formula>
    </cfRule>
    <cfRule type="cellIs" priority="8" dxfId="227" operator="lessThan" stopIfTrue="1">
      <formula>AJ12+AJ13+AJ14+AJ15+AJ16</formula>
    </cfRule>
  </conditionalFormatting>
  <conditionalFormatting sqref="AL10">
    <cfRule type="cellIs" priority="5" dxfId="227" operator="lessThan" stopIfTrue="1">
      <formula>AL8-AL9</formula>
    </cfRule>
    <cfRule type="cellIs" priority="6" dxfId="227" operator="lessThan" stopIfTrue="1">
      <formula>AL12+AL13+AL14+AL15+AL16</formula>
    </cfRule>
  </conditionalFormatting>
  <conditionalFormatting sqref="AN10">
    <cfRule type="cellIs" priority="3" dxfId="227" operator="lessThan" stopIfTrue="1">
      <formula>AN8-AN9</formula>
    </cfRule>
    <cfRule type="cellIs" priority="4" dxfId="227" operator="lessThan" stopIfTrue="1">
      <formula>AN12+AN13+AN14+AN15+AN16</formula>
    </cfRule>
  </conditionalFormatting>
  <conditionalFormatting sqref="AP10">
    <cfRule type="cellIs" priority="1" dxfId="227" operator="lessThan" stopIfTrue="1">
      <formula>AP8-AP9</formula>
    </cfRule>
    <cfRule type="cellIs" priority="2" dxfId="227" operator="lessThan" stopIfTrue="1">
      <formula>AP12+AP13+AP14+AP15+AP16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CP110"/>
  <sheetViews>
    <sheetView showGridLines="0" view="pageBreakPreview" zoomScale="85" zoomScaleNormal="85" zoomScaleSheetLayoutView="85" zoomScalePageLayoutView="0" workbookViewId="0" topLeftCell="C1">
      <selection activeCell="T8" sqref="T8"/>
    </sheetView>
  </sheetViews>
  <sheetFormatPr defaultColWidth="9.33203125" defaultRowHeight="12.75"/>
  <cols>
    <col min="1" max="1" width="8.66015625" style="198" hidden="1" customWidth="1"/>
    <col min="2" max="2" width="14" style="199" hidden="1" customWidth="1"/>
    <col min="3" max="3" width="11.33203125" style="211" customWidth="1"/>
    <col min="4" max="4" width="37.66015625" style="211" customWidth="1"/>
    <col min="5" max="5" width="13.66015625" style="211" customWidth="1"/>
    <col min="6" max="6" width="9.66015625"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0" customWidth="1"/>
    <col min="37" max="37" width="1.83203125" style="240" customWidth="1"/>
    <col min="38" max="38" width="7" style="240" customWidth="1"/>
    <col min="39" max="39" width="1.83203125" style="240"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5" style="209" customWidth="1"/>
    <col min="46" max="46" width="7.66015625" style="209" customWidth="1"/>
    <col min="47" max="47" width="38.16015625" style="209" customWidth="1"/>
    <col min="48" max="48" width="12" style="209" customWidth="1"/>
    <col min="49" max="49" width="8.16015625" style="209" customWidth="1"/>
    <col min="50" max="50" width="1.83203125" style="209" customWidth="1"/>
    <col min="51" max="51" width="8" style="209" customWidth="1"/>
    <col min="52" max="52" width="1.83203125" style="209" customWidth="1"/>
    <col min="53" max="53" width="8" style="209" customWidth="1"/>
    <col min="54" max="54" width="1.83203125" style="209" customWidth="1"/>
    <col min="55" max="55" width="8" style="209" customWidth="1"/>
    <col min="56" max="56" width="1.83203125" style="209" customWidth="1"/>
    <col min="57" max="57" width="7.5" style="209" customWidth="1"/>
    <col min="58" max="58" width="1.83203125" style="209" customWidth="1"/>
    <col min="59" max="59" width="7.83203125" style="209" customWidth="1"/>
    <col min="60" max="60" width="1.83203125" style="209" customWidth="1"/>
    <col min="61" max="61" width="8" style="209" customWidth="1"/>
    <col min="62" max="62" width="1.83203125" style="209" customWidth="1"/>
    <col min="63" max="63" width="7.16015625" style="209" customWidth="1"/>
    <col min="64" max="64" width="1.83203125" style="209" customWidth="1"/>
    <col min="65" max="65" width="7.33203125" style="209" customWidth="1"/>
    <col min="66" max="66" width="1.83203125" style="209" customWidth="1"/>
    <col min="67" max="67" width="6.66015625" style="209" customWidth="1"/>
    <col min="68" max="68" width="1.83203125" style="209" customWidth="1"/>
    <col min="69" max="69" width="7.33203125" style="209" customWidth="1"/>
    <col min="70" max="70" width="1.83203125" style="209" customWidth="1"/>
    <col min="71" max="71" width="6.83203125" style="209" customWidth="1"/>
    <col min="72" max="72" width="1.83203125" style="209" customWidth="1"/>
    <col min="73" max="73" width="7.5" style="209" customWidth="1"/>
    <col min="74" max="74" width="1.83203125" style="209" customWidth="1"/>
    <col min="75" max="75" width="6.83203125" style="209" customWidth="1"/>
    <col min="76" max="76" width="1.83203125" style="209" customWidth="1"/>
    <col min="77" max="77" width="7.33203125" style="209" customWidth="1"/>
    <col min="78" max="78" width="1.83203125" style="209" customWidth="1"/>
    <col min="79" max="79" width="7.5" style="209" customWidth="1"/>
    <col min="80" max="80" width="1.83203125" style="209" customWidth="1"/>
    <col min="81" max="81" width="9.33203125" style="209" customWidth="1"/>
    <col min="82" max="82" width="1.83203125" style="209" customWidth="1"/>
    <col min="83" max="83" width="9.33203125" style="209" customWidth="1"/>
    <col min="84" max="84" width="1.83203125" style="209" customWidth="1"/>
    <col min="85" max="85" width="9.33203125" style="209" customWidth="1"/>
    <col min="86" max="86" width="1.3359375" style="209" customWidth="1"/>
    <col min="87" max="16384" width="9.33203125" style="211" customWidth="1"/>
  </cols>
  <sheetData>
    <row r="1" spans="1:86" s="468" customFormat="1" ht="15.7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522"/>
      <c r="AS1" s="515"/>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42" ht="6" customHeight="1">
      <c r="E2" s="363"/>
      <c r="F2" s="363"/>
      <c r="G2" s="363"/>
      <c r="H2" s="367"/>
      <c r="Y2" s="372"/>
      <c r="Z2" s="367"/>
      <c r="AA2" s="372"/>
      <c r="AB2" s="367"/>
      <c r="AC2" s="372"/>
      <c r="AD2" s="456"/>
      <c r="AE2" s="372"/>
      <c r="AF2" s="367"/>
      <c r="AG2" s="372"/>
      <c r="AH2" s="367"/>
      <c r="AI2" s="372"/>
      <c r="AJ2" s="372"/>
      <c r="AK2" s="372"/>
      <c r="AL2" s="372"/>
      <c r="AM2" s="372"/>
      <c r="AN2" s="367"/>
      <c r="AP2" s="367"/>
    </row>
    <row r="3" spans="1:86" s="384" customFormat="1" ht="17.25" customHeight="1">
      <c r="A3" s="307"/>
      <c r="B3" s="307"/>
      <c r="C3" s="368" t="s">
        <v>370</v>
      </c>
      <c r="D3" s="33"/>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470"/>
      <c r="CF3" s="470"/>
      <c r="CG3" s="470"/>
      <c r="CH3" s="470"/>
    </row>
    <row r="4" spans="3:46" ht="6" customHeight="1">
      <c r="C4" s="524"/>
      <c r="D4" s="524"/>
      <c r="E4" s="427"/>
      <c r="F4" s="427"/>
      <c r="G4" s="427"/>
      <c r="H4" s="372"/>
      <c r="I4" s="372"/>
      <c r="J4" s="456"/>
      <c r="K4" s="372"/>
      <c r="L4" s="456"/>
      <c r="M4" s="372"/>
      <c r="N4" s="456"/>
      <c r="O4" s="372"/>
      <c r="P4" s="456"/>
      <c r="Q4" s="372"/>
      <c r="R4" s="367"/>
      <c r="S4" s="372"/>
      <c r="T4" s="367"/>
      <c r="U4" s="372"/>
      <c r="V4" s="367"/>
      <c r="W4" s="372"/>
      <c r="Y4" s="372"/>
      <c r="Z4" s="367"/>
      <c r="AA4" s="372"/>
      <c r="AB4" s="367"/>
      <c r="AC4" s="372"/>
      <c r="AD4" s="456"/>
      <c r="AE4" s="372"/>
      <c r="AF4" s="367"/>
      <c r="AG4" s="372"/>
      <c r="AH4" s="525"/>
      <c r="AI4" s="372"/>
      <c r="AJ4" s="372"/>
      <c r="AK4" s="372"/>
      <c r="AL4" s="372"/>
      <c r="AM4" s="372"/>
      <c r="AN4" s="367"/>
      <c r="AP4" s="367"/>
      <c r="AT4" s="348"/>
    </row>
    <row r="5" spans="1:86" s="468" customFormat="1" ht="18" customHeight="1">
      <c r="A5" s="467"/>
      <c r="B5" s="199">
        <v>7</v>
      </c>
      <c r="C5" s="806" t="s">
        <v>253</v>
      </c>
      <c r="D5" s="806"/>
      <c r="E5" s="816"/>
      <c r="F5" s="816"/>
      <c r="G5" s="816"/>
      <c r="H5" s="816"/>
      <c r="I5" s="808"/>
      <c r="J5" s="808"/>
      <c r="K5" s="808"/>
      <c r="L5" s="808"/>
      <c r="M5" s="808"/>
      <c r="N5" s="808"/>
      <c r="O5" s="808"/>
      <c r="P5" s="808"/>
      <c r="Q5" s="808"/>
      <c r="R5" s="816"/>
      <c r="S5" s="808"/>
      <c r="T5" s="816"/>
      <c r="U5" s="808"/>
      <c r="V5" s="816"/>
      <c r="W5" s="808"/>
      <c r="X5" s="816"/>
      <c r="Y5" s="808"/>
      <c r="Z5" s="816"/>
      <c r="AA5" s="808"/>
      <c r="AB5" s="816"/>
      <c r="AC5" s="808"/>
      <c r="AD5" s="808"/>
      <c r="AE5" s="808"/>
      <c r="AF5" s="816"/>
      <c r="AG5" s="808"/>
      <c r="AH5" s="816"/>
      <c r="AI5" s="386"/>
      <c r="AJ5" s="386"/>
      <c r="AK5" s="386"/>
      <c r="AL5" s="386"/>
      <c r="AM5" s="386"/>
      <c r="AN5" s="387"/>
      <c r="AO5" s="386"/>
      <c r="AP5" s="387"/>
      <c r="AQ5" s="386"/>
      <c r="AR5" s="474"/>
      <c r="AS5" s="515"/>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S6" s="526"/>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2:86" ht="22.5" customHeight="1">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2">
        <v>1990</v>
      </c>
      <c r="AX7" s="254"/>
      <c r="AY7" s="253">
        <v>1995</v>
      </c>
      <c r="AZ7" s="254"/>
      <c r="BA7" s="253">
        <v>1996</v>
      </c>
      <c r="BB7" s="254"/>
      <c r="BC7" s="253">
        <v>1997</v>
      </c>
      <c r="BD7" s="254"/>
      <c r="BE7" s="253">
        <v>1998</v>
      </c>
      <c r="BF7" s="254"/>
      <c r="BG7" s="527">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2:86" ht="18.75" customHeight="1">
      <c r="B8" s="259">
        <v>84</v>
      </c>
      <c r="C8" s="404">
        <v>1</v>
      </c>
      <c r="D8" s="528" t="s">
        <v>105</v>
      </c>
      <c r="E8" s="279" t="s">
        <v>373</v>
      </c>
      <c r="F8" s="640"/>
      <c r="G8" s="873"/>
      <c r="H8" s="640"/>
      <c r="I8" s="873"/>
      <c r="J8" s="640"/>
      <c r="K8" s="873"/>
      <c r="L8" s="640"/>
      <c r="M8" s="873"/>
      <c r="N8" s="640"/>
      <c r="O8" s="873"/>
      <c r="P8" s="640"/>
      <c r="Q8" s="873"/>
      <c r="R8" s="640"/>
      <c r="S8" s="873"/>
      <c r="T8" s="640"/>
      <c r="U8" s="873"/>
      <c r="V8" s="640"/>
      <c r="W8" s="873"/>
      <c r="X8" s="640"/>
      <c r="Y8" s="873"/>
      <c r="Z8" s="640"/>
      <c r="AA8" s="873"/>
      <c r="AB8" s="640"/>
      <c r="AC8" s="873"/>
      <c r="AD8" s="640"/>
      <c r="AE8" s="873"/>
      <c r="AF8" s="640"/>
      <c r="AG8" s="873"/>
      <c r="AH8" s="640"/>
      <c r="AI8" s="873"/>
      <c r="AJ8" s="640"/>
      <c r="AK8" s="873"/>
      <c r="AL8" s="640"/>
      <c r="AM8" s="873"/>
      <c r="AN8" s="640"/>
      <c r="AO8" s="873"/>
      <c r="AP8" s="640"/>
      <c r="AQ8" s="873"/>
      <c r="AT8" s="408">
        <v>1</v>
      </c>
      <c r="AU8" s="529" t="s">
        <v>105</v>
      </c>
      <c r="AV8" s="87" t="s">
        <v>373</v>
      </c>
      <c r="AW8" s="530" t="s">
        <v>99</v>
      </c>
      <c r="AX8" s="125"/>
      <c r="AY8" s="105" t="str">
        <f>IF(OR(ISBLANK(F8),ISBLANK(H8)),"N/A",IF(ABS((H8-F8)/F8)&gt;1,"&gt; 100%","ok"))</f>
        <v>N/A</v>
      </c>
      <c r="AZ8" s="105"/>
      <c r="BA8" s="105" t="str">
        <f>IF(OR(ISBLANK(H8),ISBLANK(J8)),"N/A",IF(ABS((J8-H8)/H8)&gt;0.25,"&gt; 25%","ok"))</f>
        <v>N/A</v>
      </c>
      <c r="BB8" s="105"/>
      <c r="BC8" s="105" t="str">
        <f>IF(OR(ISBLANK(J8),ISBLANK(L8)),"N/A",IF(ABS((L8-J8)/J8)&gt;0.25,"&gt; 25%","ok"))</f>
        <v>N/A</v>
      </c>
      <c r="BD8" s="105"/>
      <c r="BE8" s="105" t="str">
        <f>IF(OR(ISBLANK(L8),ISBLANK(N8)),"N/A",IF(ABS((N8-L8)/L8)&gt;0.25,"&gt; 25%","ok"))</f>
        <v>N/A</v>
      </c>
      <c r="BF8" s="105"/>
      <c r="BG8" s="105" t="str">
        <f>IF(OR(ISBLANK(N8),ISBLANK(P8)),"N/A",IF(ABS((P8-N8)/N8)&gt;0.25,"&gt; 25%","ok"))</f>
        <v>N/A</v>
      </c>
      <c r="BH8" s="105"/>
      <c r="BI8" s="105" t="str">
        <f>IF(OR(ISBLANK(P8),ISBLANK(R8)),"N/A",IF(ABS((R8-P8)/P8)&gt;0.25,"&gt; 25%","ok"))</f>
        <v>N/A</v>
      </c>
      <c r="BJ8" s="105"/>
      <c r="BK8" s="105" t="str">
        <f>IF(OR(ISBLANK(R8),ISBLANK(T8)),"N/A",IF(ABS((T8-R8)/R8)&gt;0.25,"&gt; 25%","ok"))</f>
        <v>N/A</v>
      </c>
      <c r="BL8" s="105"/>
      <c r="BM8" s="105" t="str">
        <f>IF(OR(ISBLANK(T8),ISBLANK(V8)),"N/A",IF(ABS((V8-T8)/T8)&gt;0.25,"&gt; 25%","ok"))</f>
        <v>N/A</v>
      </c>
      <c r="BN8" s="105"/>
      <c r="BO8" s="105" t="str">
        <f>IF(OR(ISBLANK(V8),ISBLANK(X8)),"N/A",IF(ABS((X8-V8)/V8)&gt;0.25,"&gt; 25%","ok"))</f>
        <v>N/A</v>
      </c>
      <c r="BP8" s="105"/>
      <c r="BQ8" s="105" t="str">
        <f>IF(OR(ISBLANK(X8),ISBLANK(Z8)),"N/A",IF(ABS((Z8-X8)/X8)&gt;0.25,"&gt; 25%","ok"))</f>
        <v>N/A</v>
      </c>
      <c r="BR8" s="105"/>
      <c r="BS8" s="105" t="str">
        <f>IF(OR(ISBLANK(Z8),ISBLANK(AB8)),"N/A",IF(ABS((AB8-Z8)/Z8)&gt;0.25,"&gt; 25%","ok"))</f>
        <v>N/A</v>
      </c>
      <c r="BT8" s="105"/>
      <c r="BU8" s="105" t="str">
        <f>IF(OR(ISBLANK(AB8),ISBLANK(AD8)),"N/A",IF(ABS((AD8-AB8)/AB8)&gt;0.25,"&gt; 25%","ok"))</f>
        <v>N/A</v>
      </c>
      <c r="BV8" s="105"/>
      <c r="BW8" s="105" t="str">
        <f>IF(OR(ISBLANK(AD8),ISBLANK(AF8)),"N/A",IF(ABS((AF8-AD8)/AD8)&gt;0.25,"&gt; 25%","ok"))</f>
        <v>N/A</v>
      </c>
      <c r="BX8" s="105"/>
      <c r="BY8" s="105" t="str">
        <f>IF(OR(ISBLANK(AF8),ISBLANK(AH8)),"N/A",IF(ABS((AH8-AF8)/AF8)&gt;0.25,"&gt; 25%","ok"))</f>
        <v>N/A</v>
      </c>
      <c r="BZ8" s="105"/>
      <c r="CA8" s="105" t="str">
        <f>IF(OR(ISBLANK(AH8),ISBLANK(AJ8)),"N/A",IF(ABS((AJ8-AH8)/AH8)&gt;0.25,"&gt; 25%","ok"))</f>
        <v>N/A</v>
      </c>
      <c r="CB8" s="105"/>
      <c r="CC8" s="105" t="str">
        <f>IF(OR(ISBLANK(AJ8),ISBLANK(AL8)),"N/A",IF(ABS((AL8-AJ8)/AJ8)&gt;0.25,"&gt; 25%","ok"))</f>
        <v>N/A</v>
      </c>
      <c r="CD8" s="105"/>
      <c r="CE8" s="105" t="str">
        <f>IF(OR(ISBLANK(AL8),ISBLANK(AN8)),"N/A",IF(ABS((AN8-AL8)/AL8)&gt;0.25,"&gt; 25%","ok"))</f>
        <v>N/A</v>
      </c>
      <c r="CF8" s="105"/>
      <c r="CG8" s="105" t="str">
        <f>IF(OR(ISBLANK(AN8),ISBLANK(AP8)),"N/A",IF(ABS((AP8-AN8)/AN8)&gt;0.25,"&gt; 25%","ok"))</f>
        <v>N/A</v>
      </c>
      <c r="CH8" s="267"/>
    </row>
    <row r="9" spans="2:88" ht="34.5" customHeight="1">
      <c r="B9" s="531">
        <v>85</v>
      </c>
      <c r="C9" s="279">
        <v>2</v>
      </c>
      <c r="D9" s="276" t="s">
        <v>557</v>
      </c>
      <c r="E9" s="279" t="s">
        <v>373</v>
      </c>
      <c r="F9" s="640"/>
      <c r="G9" s="873"/>
      <c r="H9" s="640"/>
      <c r="I9" s="873"/>
      <c r="J9" s="640"/>
      <c r="K9" s="873"/>
      <c r="L9" s="640"/>
      <c r="M9" s="873"/>
      <c r="N9" s="640"/>
      <c r="O9" s="873"/>
      <c r="P9" s="640"/>
      <c r="Q9" s="873"/>
      <c r="R9" s="640"/>
      <c r="S9" s="873"/>
      <c r="T9" s="640"/>
      <c r="U9" s="873"/>
      <c r="V9" s="640"/>
      <c r="W9" s="873"/>
      <c r="X9" s="640"/>
      <c r="Y9" s="873"/>
      <c r="Z9" s="640"/>
      <c r="AA9" s="873"/>
      <c r="AB9" s="640"/>
      <c r="AC9" s="873"/>
      <c r="AD9" s="640"/>
      <c r="AE9" s="873"/>
      <c r="AF9" s="640"/>
      <c r="AG9" s="873"/>
      <c r="AH9" s="640"/>
      <c r="AI9" s="873"/>
      <c r="AJ9" s="640"/>
      <c r="AK9" s="873"/>
      <c r="AL9" s="640"/>
      <c r="AM9" s="873"/>
      <c r="AN9" s="640"/>
      <c r="AO9" s="873"/>
      <c r="AP9" s="640"/>
      <c r="AQ9" s="873"/>
      <c r="AT9" s="87">
        <v>2</v>
      </c>
      <c r="AU9" s="488" t="s">
        <v>249</v>
      </c>
      <c r="AV9" s="87" t="s">
        <v>373</v>
      </c>
      <c r="AW9" s="125" t="s">
        <v>99</v>
      </c>
      <c r="AX9" s="124"/>
      <c r="AY9" s="105" t="str">
        <f aca="true" t="shared" si="0" ref="AY9:AY24">IF(OR(ISBLANK(F9),ISBLANK(H9)),"N/A",IF(ABS((H9-F9)/F9)&gt;1,"&gt; 100%","ok"))</f>
        <v>N/A</v>
      </c>
      <c r="AZ9" s="123"/>
      <c r="BA9" s="105" t="str">
        <f aca="true" t="shared" si="1" ref="BA9:BA24">IF(OR(ISBLANK(H9),ISBLANK(J9)),"N/A",IF(ABS((J9-H9)/H9)&gt;0.25,"&gt; 25%","ok"))</f>
        <v>N/A</v>
      </c>
      <c r="BB9" s="87"/>
      <c r="BC9" s="105" t="str">
        <f aca="true" t="shared" si="2" ref="BC9:BC14">IF(OR(ISBLANK(J9),ISBLANK(L9)),"N/A",IF(ABS((L9-J9)/J9)&gt;0.25,"&gt; 25%","ok"))</f>
        <v>N/A</v>
      </c>
      <c r="BD9" s="124"/>
      <c r="BE9" s="105" t="str">
        <f aca="true" t="shared" si="3" ref="BE9:BE14">IF(OR(ISBLANK(L9),ISBLANK(N9)),"N/A",IF(ABS((N9-L9)/L9)&gt;0.25,"&gt; 25%","ok"))</f>
        <v>N/A</v>
      </c>
      <c r="BF9" s="123"/>
      <c r="BG9" s="105" t="str">
        <f aca="true" t="shared" si="4" ref="BG9:BG14">IF(OR(ISBLANK(N9),ISBLANK(P9)),"N/A",IF(ABS((P9-N9)/N9)&gt;0.25,"&gt; 25%","ok"))</f>
        <v>N/A</v>
      </c>
      <c r="BH9" s="87"/>
      <c r="BI9" s="105" t="str">
        <f aca="true" t="shared" si="5" ref="BI9:BI14">IF(OR(ISBLANK(P9),ISBLANK(R9)),"N/A",IF(ABS((R9-P9)/P9)&gt;0.25,"&gt; 25%","ok"))</f>
        <v>N/A</v>
      </c>
      <c r="BJ9" s="125"/>
      <c r="BK9" s="105" t="str">
        <f aca="true" t="shared" si="6" ref="BK9:BK14">IF(OR(ISBLANK(R9),ISBLANK(T9)),"N/A",IF(ABS((T9-R9)/R9)&gt;0.25,"&gt; 25%","ok"))</f>
        <v>N/A</v>
      </c>
      <c r="BL9" s="123"/>
      <c r="BM9" s="105" t="str">
        <f aca="true" t="shared" si="7" ref="BM9:BM14">IF(OR(ISBLANK(T9),ISBLANK(V9)),"N/A",IF(ABS((V9-T9)/T9)&gt;0.25,"&gt; 25%","ok"))</f>
        <v>N/A</v>
      </c>
      <c r="BN9" s="87"/>
      <c r="BO9" s="105" t="str">
        <f aca="true" t="shared" si="8" ref="BO9:BO14">IF(OR(ISBLANK(V9),ISBLANK(X9)),"N/A",IF(ABS((X9-V9)/V9)&gt;0.25,"&gt; 25%","ok"))</f>
        <v>N/A</v>
      </c>
      <c r="BP9" s="124"/>
      <c r="BQ9" s="105" t="str">
        <f aca="true" t="shared" si="9" ref="BQ9:BQ14">IF(OR(ISBLANK(X9),ISBLANK(Z9)),"N/A",IF(ABS((Z9-X9)/X9)&gt;0.25,"&gt; 25%","ok"))</f>
        <v>N/A</v>
      </c>
      <c r="BR9" s="123"/>
      <c r="BS9" s="105" t="str">
        <f aca="true" t="shared" si="10" ref="BS9:BS14">IF(OR(ISBLANK(Z9),ISBLANK(AB9)),"N/A",IF(ABS((AB9-Z9)/Z9)&gt;0.25,"&gt; 25%","ok"))</f>
        <v>N/A</v>
      </c>
      <c r="BT9" s="125"/>
      <c r="BU9" s="105" t="str">
        <f aca="true" t="shared" si="11" ref="BU9:BU14">IF(OR(ISBLANK(AB9),ISBLANK(AD9)),"N/A",IF(ABS((AD9-AB9)/AB9)&gt;0.25,"&gt; 25%","ok"))</f>
        <v>N/A</v>
      </c>
      <c r="BV9" s="123"/>
      <c r="BW9" s="105" t="str">
        <f aca="true" t="shared" si="12" ref="BW9:BW14">IF(OR(ISBLANK(AD9),ISBLANK(AF9)),"N/A",IF(ABS((AF9-AD9)/AD9)&gt;0.25,"&gt; 25%","ok"))</f>
        <v>N/A</v>
      </c>
      <c r="BX9" s="87"/>
      <c r="BY9" s="105" t="str">
        <f aca="true" t="shared" si="13" ref="BY9:BY14">IF(OR(ISBLANK(AF9),ISBLANK(AH9)),"N/A",IF(ABS((AH9-AF9)/AF9)&gt;0.25,"&gt; 25%","ok"))</f>
        <v>N/A</v>
      </c>
      <c r="BZ9" s="87"/>
      <c r="CA9" s="105" t="str">
        <f aca="true" t="shared" si="14" ref="CA9:CA14">IF(OR(ISBLANK(AH9),ISBLANK(AJ9)),"N/A",IF(ABS((AJ9-AH9)/AH9)&gt;0.25,"&gt; 25%","ok"))</f>
        <v>N/A</v>
      </c>
      <c r="CB9" s="87"/>
      <c r="CC9" s="105" t="str">
        <f aca="true" t="shared" si="15" ref="CC9:CC14">IF(OR(ISBLANK(AJ9),ISBLANK(AL9)),"N/A",IF(ABS((AL9-AJ9)/AJ9)&gt;0.25,"&gt; 25%","ok"))</f>
        <v>N/A</v>
      </c>
      <c r="CD9" s="125"/>
      <c r="CE9" s="105" t="str">
        <f aca="true" t="shared" si="16" ref="CE9:CE14">IF(OR(ISBLANK(AL9),ISBLANK(AN9)),"N/A",IF(ABS((AN9-AL9)/AL9)&gt;0.25,"&gt; 25%","ok"))</f>
        <v>N/A</v>
      </c>
      <c r="CF9" s="87"/>
      <c r="CG9" s="105" t="str">
        <f aca="true" t="shared" si="17" ref="CG9:CG24">IF(OR(ISBLANK(AN9),ISBLANK(AP9)),"N/A",IF(ABS((AP9-AN9)/AN9)&gt;0.25,"&gt; 25%","ok"))</f>
        <v>N/A</v>
      </c>
      <c r="CH9" s="87"/>
      <c r="CI9" s="312"/>
      <c r="CJ9" s="312"/>
    </row>
    <row r="10" spans="2:88" ht="18.75" customHeight="1">
      <c r="B10" s="259">
        <v>155</v>
      </c>
      <c r="C10" s="279">
        <v>3</v>
      </c>
      <c r="D10" s="485" t="s">
        <v>143</v>
      </c>
      <c r="E10" s="279" t="s">
        <v>373</v>
      </c>
      <c r="F10" s="640"/>
      <c r="G10" s="873"/>
      <c r="H10" s="640"/>
      <c r="I10" s="873"/>
      <c r="J10" s="640"/>
      <c r="K10" s="873"/>
      <c r="L10" s="640"/>
      <c r="M10" s="873"/>
      <c r="N10" s="640"/>
      <c r="O10" s="873"/>
      <c r="P10" s="640"/>
      <c r="Q10" s="873"/>
      <c r="R10" s="640"/>
      <c r="S10" s="873"/>
      <c r="T10" s="640"/>
      <c r="U10" s="873"/>
      <c r="V10" s="640"/>
      <c r="W10" s="873"/>
      <c r="X10" s="640"/>
      <c r="Y10" s="873"/>
      <c r="Z10" s="640"/>
      <c r="AA10" s="873"/>
      <c r="AB10" s="640"/>
      <c r="AC10" s="873"/>
      <c r="AD10" s="640"/>
      <c r="AE10" s="873"/>
      <c r="AF10" s="640"/>
      <c r="AG10" s="873"/>
      <c r="AH10" s="640"/>
      <c r="AI10" s="873"/>
      <c r="AJ10" s="640"/>
      <c r="AK10" s="873"/>
      <c r="AL10" s="640"/>
      <c r="AM10" s="873"/>
      <c r="AN10" s="640"/>
      <c r="AO10" s="873"/>
      <c r="AP10" s="640"/>
      <c r="AQ10" s="873"/>
      <c r="AT10" s="87">
        <v>3</v>
      </c>
      <c r="AU10" s="488" t="s">
        <v>143</v>
      </c>
      <c r="AV10" s="87" t="s">
        <v>373</v>
      </c>
      <c r="AW10" s="125" t="s">
        <v>99</v>
      </c>
      <c r="AX10" s="124"/>
      <c r="AY10" s="105" t="str">
        <f t="shared" si="0"/>
        <v>N/A</v>
      </c>
      <c r="AZ10" s="123"/>
      <c r="BA10" s="105" t="str">
        <f t="shared" si="1"/>
        <v>N/A</v>
      </c>
      <c r="BB10" s="87"/>
      <c r="BC10" s="105" t="str">
        <f t="shared" si="2"/>
        <v>N/A</v>
      </c>
      <c r="BD10" s="124"/>
      <c r="BE10" s="105" t="str">
        <f t="shared" si="3"/>
        <v>N/A</v>
      </c>
      <c r="BF10" s="123"/>
      <c r="BG10" s="105" t="str">
        <f t="shared" si="4"/>
        <v>N/A</v>
      </c>
      <c r="BH10" s="87"/>
      <c r="BI10" s="105" t="str">
        <f t="shared" si="5"/>
        <v>N/A</v>
      </c>
      <c r="BJ10" s="125"/>
      <c r="BK10" s="105" t="str">
        <f t="shared" si="6"/>
        <v>N/A</v>
      </c>
      <c r="BL10" s="123"/>
      <c r="BM10" s="105" t="str">
        <f t="shared" si="7"/>
        <v>N/A</v>
      </c>
      <c r="BN10" s="87"/>
      <c r="BO10" s="105" t="str">
        <f t="shared" si="8"/>
        <v>N/A</v>
      </c>
      <c r="BP10" s="124"/>
      <c r="BQ10" s="105" t="str">
        <f t="shared" si="9"/>
        <v>N/A</v>
      </c>
      <c r="BR10" s="123"/>
      <c r="BS10" s="105" t="str">
        <f t="shared" si="10"/>
        <v>N/A</v>
      </c>
      <c r="BT10" s="125"/>
      <c r="BU10" s="105" t="str">
        <f t="shared" si="11"/>
        <v>N/A</v>
      </c>
      <c r="BV10" s="123"/>
      <c r="BW10" s="105" t="str">
        <f t="shared" si="12"/>
        <v>N/A</v>
      </c>
      <c r="BX10" s="87"/>
      <c r="BY10" s="105" t="str">
        <f t="shared" si="13"/>
        <v>N/A</v>
      </c>
      <c r="BZ10" s="87"/>
      <c r="CA10" s="105" t="str">
        <f t="shared" si="14"/>
        <v>N/A</v>
      </c>
      <c r="CB10" s="87"/>
      <c r="CC10" s="105" t="str">
        <f t="shared" si="15"/>
        <v>N/A</v>
      </c>
      <c r="CD10" s="125"/>
      <c r="CE10" s="105" t="str">
        <f t="shared" si="16"/>
        <v>N/A</v>
      </c>
      <c r="CF10" s="87"/>
      <c r="CG10" s="105" t="str">
        <f t="shared" si="17"/>
        <v>N/A</v>
      </c>
      <c r="CH10" s="87"/>
      <c r="CI10" s="227"/>
      <c r="CJ10" s="312"/>
    </row>
    <row r="11" spans="2:88" ht="18.75" customHeight="1">
      <c r="B11" s="259">
        <v>156</v>
      </c>
      <c r="C11" s="279">
        <v>4</v>
      </c>
      <c r="D11" s="485" t="s">
        <v>204</v>
      </c>
      <c r="E11" s="279" t="s">
        <v>373</v>
      </c>
      <c r="F11" s="640"/>
      <c r="G11" s="873"/>
      <c r="H11" s="640"/>
      <c r="I11" s="873"/>
      <c r="J11" s="640"/>
      <c r="K11" s="873"/>
      <c r="L11" s="640"/>
      <c r="M11" s="873"/>
      <c r="N11" s="640"/>
      <c r="O11" s="873"/>
      <c r="P11" s="640"/>
      <c r="Q11" s="873"/>
      <c r="R11" s="640"/>
      <c r="S11" s="873"/>
      <c r="T11" s="640"/>
      <c r="U11" s="873"/>
      <c r="V11" s="640"/>
      <c r="W11" s="873"/>
      <c r="X11" s="640"/>
      <c r="Y11" s="873"/>
      <c r="Z11" s="640"/>
      <c r="AA11" s="873"/>
      <c r="AB11" s="640"/>
      <c r="AC11" s="873"/>
      <c r="AD11" s="640"/>
      <c r="AE11" s="873"/>
      <c r="AF11" s="640"/>
      <c r="AG11" s="873"/>
      <c r="AH11" s="640"/>
      <c r="AI11" s="873"/>
      <c r="AJ11" s="640"/>
      <c r="AK11" s="873"/>
      <c r="AL11" s="640"/>
      <c r="AM11" s="873"/>
      <c r="AN11" s="640"/>
      <c r="AO11" s="873"/>
      <c r="AP11" s="640"/>
      <c r="AQ11" s="873"/>
      <c r="AT11" s="87">
        <v>4</v>
      </c>
      <c r="AU11" s="488" t="s">
        <v>204</v>
      </c>
      <c r="AV11" s="87" t="s">
        <v>373</v>
      </c>
      <c r="AW11" s="125" t="s">
        <v>99</v>
      </c>
      <c r="AX11" s="124"/>
      <c r="AY11" s="105" t="str">
        <f t="shared" si="0"/>
        <v>N/A</v>
      </c>
      <c r="AZ11" s="123"/>
      <c r="BA11" s="105" t="str">
        <f t="shared" si="1"/>
        <v>N/A</v>
      </c>
      <c r="BB11" s="87"/>
      <c r="BC11" s="105" t="str">
        <f t="shared" si="2"/>
        <v>N/A</v>
      </c>
      <c r="BD11" s="124"/>
      <c r="BE11" s="105" t="str">
        <f t="shared" si="3"/>
        <v>N/A</v>
      </c>
      <c r="BF11" s="123"/>
      <c r="BG11" s="105" t="str">
        <f t="shared" si="4"/>
        <v>N/A</v>
      </c>
      <c r="BH11" s="87"/>
      <c r="BI11" s="105" t="str">
        <f t="shared" si="5"/>
        <v>N/A</v>
      </c>
      <c r="BJ11" s="125"/>
      <c r="BK11" s="105" t="str">
        <f t="shared" si="6"/>
        <v>N/A</v>
      </c>
      <c r="BL11" s="123"/>
      <c r="BM11" s="105" t="str">
        <f t="shared" si="7"/>
        <v>N/A</v>
      </c>
      <c r="BN11" s="87"/>
      <c r="BO11" s="105" t="str">
        <f t="shared" si="8"/>
        <v>N/A</v>
      </c>
      <c r="BP11" s="124"/>
      <c r="BQ11" s="105" t="str">
        <f t="shared" si="9"/>
        <v>N/A</v>
      </c>
      <c r="BR11" s="123"/>
      <c r="BS11" s="105" t="str">
        <f t="shared" si="10"/>
        <v>N/A</v>
      </c>
      <c r="BT11" s="125"/>
      <c r="BU11" s="105" t="str">
        <f t="shared" si="11"/>
        <v>N/A</v>
      </c>
      <c r="BV11" s="123"/>
      <c r="BW11" s="105" t="str">
        <f t="shared" si="12"/>
        <v>N/A</v>
      </c>
      <c r="BX11" s="87"/>
      <c r="BY11" s="105" t="str">
        <f t="shared" si="13"/>
        <v>N/A</v>
      </c>
      <c r="BZ11" s="87"/>
      <c r="CA11" s="105" t="str">
        <f t="shared" si="14"/>
        <v>N/A</v>
      </c>
      <c r="CB11" s="87"/>
      <c r="CC11" s="105" t="str">
        <f t="shared" si="15"/>
        <v>N/A</v>
      </c>
      <c r="CD11" s="125"/>
      <c r="CE11" s="105" t="str">
        <f t="shared" si="16"/>
        <v>N/A</v>
      </c>
      <c r="CF11" s="87"/>
      <c r="CG11" s="105" t="str">
        <f t="shared" si="17"/>
        <v>N/A</v>
      </c>
      <c r="CH11" s="87"/>
      <c r="CI11" s="227"/>
      <c r="CJ11" s="312"/>
    </row>
    <row r="12" spans="2:88" ht="18.75" customHeight="1">
      <c r="B12" s="259">
        <v>158</v>
      </c>
      <c r="C12" s="279">
        <v>5</v>
      </c>
      <c r="D12" s="485" t="s">
        <v>391</v>
      </c>
      <c r="E12" s="279" t="s">
        <v>373</v>
      </c>
      <c r="F12" s="640"/>
      <c r="G12" s="873"/>
      <c r="H12" s="640"/>
      <c r="I12" s="873"/>
      <c r="J12" s="640"/>
      <c r="K12" s="873"/>
      <c r="L12" s="640"/>
      <c r="M12" s="873"/>
      <c r="N12" s="640"/>
      <c r="O12" s="873"/>
      <c r="P12" s="640"/>
      <c r="Q12" s="873"/>
      <c r="R12" s="640"/>
      <c r="S12" s="873"/>
      <c r="T12" s="640"/>
      <c r="U12" s="873"/>
      <c r="V12" s="640"/>
      <c r="W12" s="873"/>
      <c r="X12" s="640"/>
      <c r="Y12" s="873"/>
      <c r="Z12" s="640"/>
      <c r="AA12" s="873"/>
      <c r="AB12" s="640"/>
      <c r="AC12" s="873"/>
      <c r="AD12" s="640"/>
      <c r="AE12" s="873"/>
      <c r="AF12" s="640"/>
      <c r="AG12" s="873"/>
      <c r="AH12" s="640"/>
      <c r="AI12" s="873"/>
      <c r="AJ12" s="640"/>
      <c r="AK12" s="873"/>
      <c r="AL12" s="640"/>
      <c r="AM12" s="873"/>
      <c r="AN12" s="640"/>
      <c r="AO12" s="873"/>
      <c r="AP12" s="640"/>
      <c r="AQ12" s="873"/>
      <c r="AT12" s="87">
        <v>5</v>
      </c>
      <c r="AU12" s="488" t="s">
        <v>391</v>
      </c>
      <c r="AV12" s="87" t="s">
        <v>373</v>
      </c>
      <c r="AW12" s="125" t="s">
        <v>99</v>
      </c>
      <c r="AX12" s="124"/>
      <c r="AY12" s="105" t="str">
        <f t="shared" si="0"/>
        <v>N/A</v>
      </c>
      <c r="AZ12" s="123"/>
      <c r="BA12" s="105" t="str">
        <f t="shared" si="1"/>
        <v>N/A</v>
      </c>
      <c r="BB12" s="87"/>
      <c r="BC12" s="105" t="str">
        <f t="shared" si="2"/>
        <v>N/A</v>
      </c>
      <c r="BD12" s="124"/>
      <c r="BE12" s="105" t="str">
        <f t="shared" si="3"/>
        <v>N/A</v>
      </c>
      <c r="BF12" s="123"/>
      <c r="BG12" s="105" t="str">
        <f t="shared" si="4"/>
        <v>N/A</v>
      </c>
      <c r="BH12" s="87"/>
      <c r="BI12" s="105" t="str">
        <f t="shared" si="5"/>
        <v>N/A</v>
      </c>
      <c r="BJ12" s="125"/>
      <c r="BK12" s="105" t="str">
        <f t="shared" si="6"/>
        <v>N/A</v>
      </c>
      <c r="BL12" s="123"/>
      <c r="BM12" s="105" t="str">
        <f t="shared" si="7"/>
        <v>N/A</v>
      </c>
      <c r="BN12" s="87"/>
      <c r="BO12" s="105" t="str">
        <f t="shared" si="8"/>
        <v>N/A</v>
      </c>
      <c r="BP12" s="124"/>
      <c r="BQ12" s="105" t="str">
        <f t="shared" si="9"/>
        <v>N/A</v>
      </c>
      <c r="BR12" s="123"/>
      <c r="BS12" s="105" t="str">
        <f t="shared" si="10"/>
        <v>N/A</v>
      </c>
      <c r="BT12" s="125"/>
      <c r="BU12" s="105" t="str">
        <f t="shared" si="11"/>
        <v>N/A</v>
      </c>
      <c r="BV12" s="123"/>
      <c r="BW12" s="105" t="str">
        <f t="shared" si="12"/>
        <v>N/A</v>
      </c>
      <c r="BX12" s="87"/>
      <c r="BY12" s="105" t="str">
        <f t="shared" si="13"/>
        <v>N/A</v>
      </c>
      <c r="BZ12" s="87"/>
      <c r="CA12" s="105" t="str">
        <f t="shared" si="14"/>
        <v>N/A</v>
      </c>
      <c r="CB12" s="87"/>
      <c r="CC12" s="105" t="str">
        <f t="shared" si="15"/>
        <v>N/A</v>
      </c>
      <c r="CD12" s="125"/>
      <c r="CE12" s="105" t="str">
        <f t="shared" si="16"/>
        <v>N/A</v>
      </c>
      <c r="CF12" s="87"/>
      <c r="CG12" s="105" t="str">
        <f t="shared" si="17"/>
        <v>N/A</v>
      </c>
      <c r="CH12" s="87"/>
      <c r="CI12" s="227"/>
      <c r="CJ12" s="312"/>
    </row>
    <row r="13" spans="2:88" ht="18.75" customHeight="1">
      <c r="B13" s="259">
        <v>159</v>
      </c>
      <c r="C13" s="279">
        <v>6</v>
      </c>
      <c r="D13" s="485" t="s">
        <v>390</v>
      </c>
      <c r="E13" s="279" t="s">
        <v>373</v>
      </c>
      <c r="F13" s="640"/>
      <c r="G13" s="873"/>
      <c r="H13" s="640"/>
      <c r="I13" s="873"/>
      <c r="J13" s="640"/>
      <c r="K13" s="873"/>
      <c r="L13" s="640"/>
      <c r="M13" s="873"/>
      <c r="N13" s="640"/>
      <c r="O13" s="873"/>
      <c r="P13" s="640"/>
      <c r="Q13" s="873"/>
      <c r="R13" s="640"/>
      <c r="S13" s="873"/>
      <c r="T13" s="640"/>
      <c r="U13" s="873"/>
      <c r="V13" s="640"/>
      <c r="W13" s="873"/>
      <c r="X13" s="640"/>
      <c r="Y13" s="873"/>
      <c r="Z13" s="640"/>
      <c r="AA13" s="873"/>
      <c r="AB13" s="640"/>
      <c r="AC13" s="873"/>
      <c r="AD13" s="640"/>
      <c r="AE13" s="873"/>
      <c r="AF13" s="640"/>
      <c r="AG13" s="873"/>
      <c r="AH13" s="640"/>
      <c r="AI13" s="873"/>
      <c r="AJ13" s="640"/>
      <c r="AK13" s="873"/>
      <c r="AL13" s="640"/>
      <c r="AM13" s="873"/>
      <c r="AN13" s="640"/>
      <c r="AO13" s="873"/>
      <c r="AP13" s="640"/>
      <c r="AQ13" s="873"/>
      <c r="AT13" s="87">
        <v>6</v>
      </c>
      <c r="AU13" s="488" t="s">
        <v>390</v>
      </c>
      <c r="AV13" s="87" t="s">
        <v>373</v>
      </c>
      <c r="AW13" s="125" t="s">
        <v>99</v>
      </c>
      <c r="AX13" s="124"/>
      <c r="AY13" s="105" t="str">
        <f t="shared" si="0"/>
        <v>N/A</v>
      </c>
      <c r="AZ13" s="123"/>
      <c r="BA13" s="105" t="str">
        <f t="shared" si="1"/>
        <v>N/A</v>
      </c>
      <c r="BB13" s="87"/>
      <c r="BC13" s="105" t="str">
        <f t="shared" si="2"/>
        <v>N/A</v>
      </c>
      <c r="BD13" s="124"/>
      <c r="BE13" s="105" t="str">
        <f t="shared" si="3"/>
        <v>N/A</v>
      </c>
      <c r="BF13" s="123"/>
      <c r="BG13" s="105" t="str">
        <f t="shared" si="4"/>
        <v>N/A</v>
      </c>
      <c r="BH13" s="87"/>
      <c r="BI13" s="105" t="str">
        <f t="shared" si="5"/>
        <v>N/A</v>
      </c>
      <c r="BJ13" s="123"/>
      <c r="BK13" s="105" t="str">
        <f t="shared" si="6"/>
        <v>N/A</v>
      </c>
      <c r="BL13" s="87"/>
      <c r="BM13" s="105" t="str">
        <f t="shared" si="7"/>
        <v>N/A</v>
      </c>
      <c r="BN13" s="124"/>
      <c r="BO13" s="105" t="str">
        <f t="shared" si="8"/>
        <v>N/A</v>
      </c>
      <c r="BP13" s="123"/>
      <c r="BQ13" s="105" t="str">
        <f t="shared" si="9"/>
        <v>N/A</v>
      </c>
      <c r="BR13" s="87"/>
      <c r="BS13" s="105" t="str">
        <f t="shared" si="10"/>
        <v>N/A</v>
      </c>
      <c r="BT13" s="124"/>
      <c r="BU13" s="105" t="str">
        <f t="shared" si="11"/>
        <v>N/A</v>
      </c>
      <c r="BV13" s="87"/>
      <c r="BW13" s="105" t="str">
        <f t="shared" si="12"/>
        <v>N/A</v>
      </c>
      <c r="BX13" s="87"/>
      <c r="BY13" s="105" t="str">
        <f t="shared" si="13"/>
        <v>N/A</v>
      </c>
      <c r="BZ13" s="123"/>
      <c r="CA13" s="105" t="str">
        <f t="shared" si="14"/>
        <v>N/A</v>
      </c>
      <c r="CB13" s="123"/>
      <c r="CC13" s="105" t="str">
        <f t="shared" si="15"/>
        <v>N/A</v>
      </c>
      <c r="CD13" s="87"/>
      <c r="CE13" s="105" t="str">
        <f t="shared" si="16"/>
        <v>N/A</v>
      </c>
      <c r="CF13" s="124"/>
      <c r="CG13" s="105" t="str">
        <f t="shared" si="17"/>
        <v>N/A</v>
      </c>
      <c r="CH13" s="87"/>
      <c r="CI13" s="227"/>
      <c r="CJ13" s="312"/>
    </row>
    <row r="14" spans="2:88" ht="27" customHeight="1">
      <c r="B14" s="259">
        <v>89</v>
      </c>
      <c r="C14" s="279">
        <v>7</v>
      </c>
      <c r="D14" s="276" t="s">
        <v>144</v>
      </c>
      <c r="E14" s="279" t="s">
        <v>373</v>
      </c>
      <c r="F14" s="640"/>
      <c r="G14" s="873"/>
      <c r="H14" s="640"/>
      <c r="I14" s="873"/>
      <c r="J14" s="640"/>
      <c r="K14" s="873"/>
      <c r="L14" s="640"/>
      <c r="M14" s="873"/>
      <c r="N14" s="640"/>
      <c r="O14" s="873"/>
      <c r="P14" s="640"/>
      <c r="Q14" s="873"/>
      <c r="R14" s="640"/>
      <c r="S14" s="873"/>
      <c r="T14" s="640"/>
      <c r="U14" s="873"/>
      <c r="V14" s="640"/>
      <c r="W14" s="873"/>
      <c r="X14" s="640"/>
      <c r="Y14" s="873"/>
      <c r="Z14" s="640"/>
      <c r="AA14" s="873"/>
      <c r="AB14" s="640"/>
      <c r="AC14" s="873"/>
      <c r="AD14" s="640"/>
      <c r="AE14" s="873"/>
      <c r="AF14" s="640"/>
      <c r="AG14" s="873"/>
      <c r="AH14" s="640"/>
      <c r="AI14" s="873"/>
      <c r="AJ14" s="640"/>
      <c r="AK14" s="873"/>
      <c r="AL14" s="640"/>
      <c r="AM14" s="873"/>
      <c r="AN14" s="640"/>
      <c r="AO14" s="873"/>
      <c r="AP14" s="640"/>
      <c r="AQ14" s="873"/>
      <c r="AT14" s="87">
        <v>7</v>
      </c>
      <c r="AU14" s="271" t="s">
        <v>144</v>
      </c>
      <c r="AV14" s="87" t="s">
        <v>373</v>
      </c>
      <c r="AW14" s="125" t="s">
        <v>99</v>
      </c>
      <c r="AX14" s="124"/>
      <c r="AY14" s="105" t="str">
        <f t="shared" si="0"/>
        <v>N/A</v>
      </c>
      <c r="AZ14" s="123"/>
      <c r="BA14" s="105" t="str">
        <f t="shared" si="1"/>
        <v>N/A</v>
      </c>
      <c r="BB14" s="87"/>
      <c r="BC14" s="105" t="str">
        <f t="shared" si="2"/>
        <v>N/A</v>
      </c>
      <c r="BD14" s="124"/>
      <c r="BE14" s="105" t="str">
        <f t="shared" si="3"/>
        <v>N/A</v>
      </c>
      <c r="BF14" s="123"/>
      <c r="BG14" s="105" t="str">
        <f t="shared" si="4"/>
        <v>N/A</v>
      </c>
      <c r="BH14" s="87"/>
      <c r="BI14" s="105" t="str">
        <f t="shared" si="5"/>
        <v>N/A</v>
      </c>
      <c r="BJ14" s="123"/>
      <c r="BK14" s="105" t="str">
        <f t="shared" si="6"/>
        <v>N/A</v>
      </c>
      <c r="BL14" s="87"/>
      <c r="BM14" s="105" t="str">
        <f t="shared" si="7"/>
        <v>N/A</v>
      </c>
      <c r="BN14" s="124"/>
      <c r="BO14" s="105" t="str">
        <f t="shared" si="8"/>
        <v>N/A</v>
      </c>
      <c r="BP14" s="123"/>
      <c r="BQ14" s="105" t="str">
        <f t="shared" si="9"/>
        <v>N/A</v>
      </c>
      <c r="BR14" s="87"/>
      <c r="BS14" s="105" t="str">
        <f t="shared" si="10"/>
        <v>N/A</v>
      </c>
      <c r="BT14" s="124"/>
      <c r="BU14" s="105" t="str">
        <f t="shared" si="11"/>
        <v>N/A</v>
      </c>
      <c r="BV14" s="87"/>
      <c r="BW14" s="105" t="str">
        <f t="shared" si="12"/>
        <v>N/A</v>
      </c>
      <c r="BX14" s="87"/>
      <c r="BY14" s="105" t="str">
        <f t="shared" si="13"/>
        <v>N/A</v>
      </c>
      <c r="BZ14" s="123"/>
      <c r="CA14" s="105" t="str">
        <f t="shared" si="14"/>
        <v>N/A</v>
      </c>
      <c r="CB14" s="123"/>
      <c r="CC14" s="105" t="str">
        <f t="shared" si="15"/>
        <v>N/A</v>
      </c>
      <c r="CD14" s="87"/>
      <c r="CE14" s="105" t="str">
        <f t="shared" si="16"/>
        <v>N/A</v>
      </c>
      <c r="CF14" s="124"/>
      <c r="CG14" s="105" t="str">
        <f t="shared" si="17"/>
        <v>N/A</v>
      </c>
      <c r="CH14" s="87"/>
      <c r="CI14" s="227"/>
      <c r="CJ14" s="312"/>
    </row>
    <row r="15" spans="2:88" ht="27" customHeight="1">
      <c r="B15" s="259">
        <v>94</v>
      </c>
      <c r="C15" s="279">
        <v>8</v>
      </c>
      <c r="D15" s="532" t="s">
        <v>558</v>
      </c>
      <c r="E15" s="279" t="s">
        <v>373</v>
      </c>
      <c r="F15" s="640"/>
      <c r="G15" s="873"/>
      <c r="H15" s="640"/>
      <c r="I15" s="873"/>
      <c r="J15" s="640"/>
      <c r="K15" s="873"/>
      <c r="L15" s="640"/>
      <c r="M15" s="873"/>
      <c r="N15" s="640"/>
      <c r="O15" s="873"/>
      <c r="P15" s="640"/>
      <c r="Q15" s="873"/>
      <c r="R15" s="640"/>
      <c r="S15" s="873"/>
      <c r="T15" s="640"/>
      <c r="U15" s="873"/>
      <c r="V15" s="640"/>
      <c r="W15" s="873"/>
      <c r="X15" s="640"/>
      <c r="Y15" s="873"/>
      <c r="Z15" s="640"/>
      <c r="AA15" s="873"/>
      <c r="AB15" s="640"/>
      <c r="AC15" s="873"/>
      <c r="AD15" s="640"/>
      <c r="AE15" s="873"/>
      <c r="AF15" s="640"/>
      <c r="AG15" s="873"/>
      <c r="AH15" s="640"/>
      <c r="AI15" s="873"/>
      <c r="AJ15" s="640"/>
      <c r="AK15" s="873"/>
      <c r="AL15" s="640"/>
      <c r="AM15" s="873"/>
      <c r="AN15" s="640"/>
      <c r="AO15" s="873"/>
      <c r="AP15" s="640"/>
      <c r="AQ15" s="873"/>
      <c r="AT15" s="87">
        <v>8</v>
      </c>
      <c r="AU15" s="488" t="s">
        <v>106</v>
      </c>
      <c r="AV15" s="87" t="s">
        <v>373</v>
      </c>
      <c r="AW15" s="125" t="s">
        <v>99</v>
      </c>
      <c r="AX15" s="124"/>
      <c r="AY15" s="105" t="str">
        <f t="shared" si="0"/>
        <v>N/A</v>
      </c>
      <c r="AZ15" s="123"/>
      <c r="BA15" s="105" t="str">
        <f t="shared" si="1"/>
        <v>N/A</v>
      </c>
      <c r="BB15" s="87"/>
      <c r="BC15" s="105" t="str">
        <f>IF(OR(ISBLANK(J15),ISBLANK(L15)),"N/A",IF(ABS((L15-J15)/J15)&gt;0.25,"&gt; 25%","ok"))</f>
        <v>N/A</v>
      </c>
      <c r="BD15" s="124"/>
      <c r="BE15" s="105" t="str">
        <f>IF(OR(ISBLANK(L15),ISBLANK(N15)),"N/A",IF(ABS((N15-L15)/L15)&gt;0.25,"&gt; 25%","ok"))</f>
        <v>N/A</v>
      </c>
      <c r="BF15" s="123"/>
      <c r="BG15" s="105" t="str">
        <f>IF(OR(ISBLANK(N15),ISBLANK(P15)),"N/A",IF(ABS((P15-N15)/N15)&gt;0.25,"&gt; 25%","ok"))</f>
        <v>N/A</v>
      </c>
      <c r="BH15" s="87"/>
      <c r="BI15" s="105" t="str">
        <f>IF(OR(ISBLANK(P15),ISBLANK(R15)),"N/A",IF(ABS((R15-P15)/P15)&gt;0.25,"&gt; 25%","ok"))</f>
        <v>N/A</v>
      </c>
      <c r="BJ15" s="123"/>
      <c r="BK15" s="105" t="str">
        <f>IF(OR(ISBLANK(R15),ISBLANK(T15)),"N/A",IF(ABS((T15-R15)/R15)&gt;0.25,"&gt; 25%","ok"))</f>
        <v>N/A</v>
      </c>
      <c r="BL15" s="87"/>
      <c r="BM15" s="105" t="str">
        <f>IF(OR(ISBLANK(T15),ISBLANK(V15)),"N/A",IF(ABS((V15-T15)/T15)&gt;0.25,"&gt; 25%","ok"))</f>
        <v>N/A</v>
      </c>
      <c r="BN15" s="124"/>
      <c r="BO15" s="105" t="str">
        <f>IF(OR(ISBLANK(V15),ISBLANK(X15)),"N/A",IF(ABS((X15-V15)/V15)&gt;0.25,"&gt; 25%","ok"))</f>
        <v>N/A</v>
      </c>
      <c r="BP15" s="123"/>
      <c r="BQ15" s="105" t="str">
        <f>IF(OR(ISBLANK(X15),ISBLANK(Z15)),"N/A",IF(ABS((Z15-X15)/X15)&gt;0.25,"&gt; 25%","ok"))</f>
        <v>N/A</v>
      </c>
      <c r="BR15" s="87"/>
      <c r="BS15" s="105" t="str">
        <f>IF(OR(ISBLANK(Z15),ISBLANK(AB15)),"N/A",IF(ABS((AB15-Z15)/Z15)&gt;0.25,"&gt; 25%","ok"))</f>
        <v>N/A</v>
      </c>
      <c r="BT15" s="124"/>
      <c r="BU15" s="105" t="str">
        <f>IF(OR(ISBLANK(AB15),ISBLANK(AD15)),"N/A",IF(ABS((AD15-AB15)/AB15)&gt;0.25,"&gt; 25%","ok"))</f>
        <v>N/A</v>
      </c>
      <c r="BV15" s="87"/>
      <c r="BW15" s="105" t="str">
        <f>IF(OR(ISBLANK(AD15),ISBLANK(AF15)),"N/A",IF(ABS((AF15-AD15)/AD15)&gt;0.25,"&gt; 25%","ok"))</f>
        <v>N/A</v>
      </c>
      <c r="BX15" s="87"/>
      <c r="BY15" s="105" t="str">
        <f>IF(OR(ISBLANK(AF15),ISBLANK(AH15)),"N/A",IF(ABS((AH15-AF15)/AF15)&gt;0.25,"&gt; 25%","ok"))</f>
        <v>N/A</v>
      </c>
      <c r="BZ15" s="123"/>
      <c r="CA15" s="105" t="str">
        <f>IF(OR(ISBLANK(AH15),ISBLANK(AJ15)),"N/A",IF(ABS((AJ15-AH15)/AH15)&gt;0.25,"&gt; 25%","ok"))</f>
        <v>N/A</v>
      </c>
      <c r="CB15" s="123"/>
      <c r="CC15" s="105" t="str">
        <f>IF(OR(ISBLANK(AJ15),ISBLANK(AL15)),"N/A",IF(ABS((AL15-AJ15)/AJ15)&gt;0.25,"&gt; 25%","ok"))</f>
        <v>N/A</v>
      </c>
      <c r="CD15" s="87"/>
      <c r="CE15" s="105" t="str">
        <f>IF(OR(ISBLANK(AL15),ISBLANK(AN15)),"N/A",IF(ABS((AN15-AL15)/AL15)&gt;0.25,"&gt; 25%","ok"))</f>
        <v>N/A</v>
      </c>
      <c r="CF15" s="124"/>
      <c r="CG15" s="105" t="str">
        <f t="shared" si="17"/>
        <v>N/A</v>
      </c>
      <c r="CH15" s="87"/>
      <c r="CI15" s="227"/>
      <c r="CJ15" s="312"/>
    </row>
    <row r="16" spans="2:88" ht="18.75" customHeight="1">
      <c r="B16" s="259">
        <v>98</v>
      </c>
      <c r="C16" s="279">
        <v>9</v>
      </c>
      <c r="D16" s="485" t="s">
        <v>107</v>
      </c>
      <c r="E16" s="279" t="s">
        <v>373</v>
      </c>
      <c r="F16" s="640"/>
      <c r="G16" s="873"/>
      <c r="H16" s="640"/>
      <c r="I16" s="873"/>
      <c r="J16" s="640"/>
      <c r="K16" s="873"/>
      <c r="L16" s="640"/>
      <c r="M16" s="873"/>
      <c r="N16" s="640"/>
      <c r="O16" s="873"/>
      <c r="P16" s="640"/>
      <c r="Q16" s="873"/>
      <c r="R16" s="640"/>
      <c r="S16" s="873"/>
      <c r="T16" s="640"/>
      <c r="U16" s="873"/>
      <c r="V16" s="640"/>
      <c r="W16" s="873"/>
      <c r="X16" s="640"/>
      <c r="Y16" s="873"/>
      <c r="Z16" s="640"/>
      <c r="AA16" s="873"/>
      <c r="AB16" s="640"/>
      <c r="AC16" s="873"/>
      <c r="AD16" s="640"/>
      <c r="AE16" s="873"/>
      <c r="AF16" s="640"/>
      <c r="AG16" s="873"/>
      <c r="AH16" s="640"/>
      <c r="AI16" s="873"/>
      <c r="AJ16" s="640"/>
      <c r="AK16" s="873"/>
      <c r="AL16" s="640"/>
      <c r="AM16" s="873"/>
      <c r="AN16" s="640"/>
      <c r="AO16" s="873"/>
      <c r="AP16" s="640"/>
      <c r="AQ16" s="873"/>
      <c r="AT16" s="87">
        <v>9</v>
      </c>
      <c r="AU16" s="488" t="s">
        <v>107</v>
      </c>
      <c r="AV16" s="87" t="s">
        <v>373</v>
      </c>
      <c r="AW16" s="125" t="s">
        <v>99</v>
      </c>
      <c r="AX16" s="124"/>
      <c r="AY16" s="105" t="str">
        <f t="shared" si="0"/>
        <v>N/A</v>
      </c>
      <c r="AZ16" s="123"/>
      <c r="BA16" s="105" t="str">
        <f t="shared" si="1"/>
        <v>N/A</v>
      </c>
      <c r="BB16" s="87"/>
      <c r="BC16" s="105" t="str">
        <f>IF(OR(ISBLANK(J16),ISBLANK(L16)),"N/A",IF(ABS((L16-J16)/J16)&gt;0.25,"&gt; 25%","ok"))</f>
        <v>N/A</v>
      </c>
      <c r="BD16" s="124"/>
      <c r="BE16" s="105" t="str">
        <f>IF(OR(ISBLANK(L16),ISBLANK(N16)),"N/A",IF(ABS((N16-L16)/L16)&gt;0.25,"&gt; 25%","ok"))</f>
        <v>N/A</v>
      </c>
      <c r="BF16" s="123"/>
      <c r="BG16" s="105" t="str">
        <f>IF(OR(ISBLANK(N16),ISBLANK(P16)),"N/A",IF(ABS((P16-N16)/N16)&gt;0.25,"&gt; 25%","ok"))</f>
        <v>N/A</v>
      </c>
      <c r="BH16" s="87"/>
      <c r="BI16" s="105" t="str">
        <f>IF(OR(ISBLANK(P16),ISBLANK(R16)),"N/A",IF(ABS((R16-P16)/P16)&gt;0.25,"&gt; 25%","ok"))</f>
        <v>N/A</v>
      </c>
      <c r="BJ16" s="123"/>
      <c r="BK16" s="105" t="str">
        <f>IF(OR(ISBLANK(R16),ISBLANK(T16)),"N/A",IF(ABS((T16-R16)/R16)&gt;0.25,"&gt; 25%","ok"))</f>
        <v>N/A</v>
      </c>
      <c r="BL16" s="87"/>
      <c r="BM16" s="105" t="str">
        <f>IF(OR(ISBLANK(T16),ISBLANK(V16)),"N/A",IF(ABS((V16-T16)/T16)&gt;0.25,"&gt; 25%","ok"))</f>
        <v>N/A</v>
      </c>
      <c r="BN16" s="124"/>
      <c r="BO16" s="105" t="str">
        <f>IF(OR(ISBLANK(V16),ISBLANK(X16)),"N/A",IF(ABS((X16-V16)/V16)&gt;0.25,"&gt; 25%","ok"))</f>
        <v>N/A</v>
      </c>
      <c r="BP16" s="123"/>
      <c r="BQ16" s="105" t="str">
        <f>IF(OR(ISBLANK(X16),ISBLANK(Z16)),"N/A",IF(ABS((Z16-X16)/X16)&gt;0.25,"&gt; 25%","ok"))</f>
        <v>N/A</v>
      </c>
      <c r="BR16" s="87"/>
      <c r="BS16" s="105" t="str">
        <f>IF(OR(ISBLANK(Z16),ISBLANK(AB16)),"N/A",IF(ABS((AB16-Z16)/Z16)&gt;0.25,"&gt; 25%","ok"))</f>
        <v>N/A</v>
      </c>
      <c r="BT16" s="124"/>
      <c r="BU16" s="105" t="str">
        <f>IF(OR(ISBLANK(AB16),ISBLANK(AD16)),"N/A",IF(ABS((AD16-AB16)/AB16)&gt;0.25,"&gt; 25%","ok"))</f>
        <v>N/A</v>
      </c>
      <c r="BV16" s="87"/>
      <c r="BW16" s="105" t="str">
        <f>IF(OR(ISBLANK(AD16),ISBLANK(AF16)),"N/A",IF(ABS((AF16-AD16)/AD16)&gt;0.25,"&gt; 25%","ok"))</f>
        <v>N/A</v>
      </c>
      <c r="BX16" s="87"/>
      <c r="BY16" s="105" t="str">
        <f>IF(OR(ISBLANK(AF16),ISBLANK(AH16)),"N/A",IF(ABS((AH16-AF16)/AF16)&gt;0.25,"&gt; 25%","ok"))</f>
        <v>N/A</v>
      </c>
      <c r="BZ16" s="123"/>
      <c r="CA16" s="105" t="str">
        <f>IF(OR(ISBLANK(AH16),ISBLANK(AJ16)),"N/A",IF(ABS((AJ16-AH16)/AH16)&gt;0.25,"&gt; 25%","ok"))</f>
        <v>N/A</v>
      </c>
      <c r="CB16" s="123"/>
      <c r="CC16" s="105" t="str">
        <f>IF(OR(ISBLANK(AJ16),ISBLANK(AL16)),"N/A",IF(ABS((AL16-AJ16)/AJ16)&gt;0.25,"&gt; 25%","ok"))</f>
        <v>N/A</v>
      </c>
      <c r="CD16" s="87"/>
      <c r="CE16" s="105" t="str">
        <f>IF(OR(ISBLANK(AL16),ISBLANK(AN16)),"N/A",IF(ABS((AN16-AL16)/AL16)&gt;0.25,"&gt; 25%","ok"))</f>
        <v>N/A</v>
      </c>
      <c r="CF16" s="124"/>
      <c r="CG16" s="105" t="str">
        <f t="shared" si="17"/>
        <v>N/A</v>
      </c>
      <c r="CH16" s="87"/>
      <c r="CI16" s="227"/>
      <c r="CJ16" s="312"/>
    </row>
    <row r="17" spans="2:88" ht="18.75" customHeight="1">
      <c r="B17" s="259">
        <v>102</v>
      </c>
      <c r="C17" s="279">
        <v>10</v>
      </c>
      <c r="D17" s="485" t="s">
        <v>108</v>
      </c>
      <c r="E17" s="279" t="s">
        <v>373</v>
      </c>
      <c r="F17" s="640"/>
      <c r="G17" s="873"/>
      <c r="H17" s="640"/>
      <c r="I17" s="873"/>
      <c r="J17" s="640"/>
      <c r="K17" s="873"/>
      <c r="L17" s="640"/>
      <c r="M17" s="873"/>
      <c r="N17" s="640"/>
      <c r="O17" s="873"/>
      <c r="P17" s="640"/>
      <c r="Q17" s="873"/>
      <c r="R17" s="640"/>
      <c r="S17" s="873"/>
      <c r="T17" s="640"/>
      <c r="U17" s="873"/>
      <c r="V17" s="640"/>
      <c r="W17" s="873"/>
      <c r="X17" s="640"/>
      <c r="Y17" s="873"/>
      <c r="Z17" s="640"/>
      <c r="AA17" s="873"/>
      <c r="AB17" s="640"/>
      <c r="AC17" s="873"/>
      <c r="AD17" s="640"/>
      <c r="AE17" s="873"/>
      <c r="AF17" s="640"/>
      <c r="AG17" s="873"/>
      <c r="AH17" s="640"/>
      <c r="AI17" s="873"/>
      <c r="AJ17" s="640"/>
      <c r="AK17" s="873"/>
      <c r="AL17" s="640"/>
      <c r="AM17" s="873"/>
      <c r="AN17" s="640"/>
      <c r="AO17" s="873"/>
      <c r="AP17" s="640"/>
      <c r="AQ17" s="873"/>
      <c r="AT17" s="87">
        <v>10</v>
      </c>
      <c r="AU17" s="488" t="s">
        <v>108</v>
      </c>
      <c r="AV17" s="87" t="s">
        <v>373</v>
      </c>
      <c r="AW17" s="125" t="s">
        <v>99</v>
      </c>
      <c r="AX17" s="124"/>
      <c r="AY17" s="105" t="str">
        <f t="shared" si="0"/>
        <v>N/A</v>
      </c>
      <c r="AZ17" s="123"/>
      <c r="BA17" s="105" t="str">
        <f t="shared" si="1"/>
        <v>N/A</v>
      </c>
      <c r="BB17" s="87"/>
      <c r="BC17" s="105" t="str">
        <f>IF(OR(ISBLANK(J17),ISBLANK(L17)),"N/A",IF(ABS((L17-J17)/J17)&gt;0.25,"&gt; 25%","ok"))</f>
        <v>N/A</v>
      </c>
      <c r="BD17" s="125"/>
      <c r="BE17" s="105" t="str">
        <f>IF(OR(ISBLANK(L17),ISBLANK(N17)),"N/A",IF(ABS((N17-L17)/L17)&gt;0.25,"&gt; 25%","ok"))</f>
        <v>N/A</v>
      </c>
      <c r="BF17" s="123"/>
      <c r="BG17" s="105" t="str">
        <f>IF(OR(ISBLANK(N17),ISBLANK(P17)),"N/A",IF(ABS((P17-N17)/N17)&gt;0.25,"&gt; 25%","ok"))</f>
        <v>N/A</v>
      </c>
      <c r="BH17" s="87"/>
      <c r="BI17" s="105" t="str">
        <f>IF(OR(ISBLANK(P17),ISBLANK(R17)),"N/A",IF(ABS((R17-P17)/P17)&gt;0.25,"&gt; 25%","ok"))</f>
        <v>N/A</v>
      </c>
      <c r="BJ17" s="123"/>
      <c r="BK17" s="105" t="str">
        <f>IF(OR(ISBLANK(R17),ISBLANK(T17)),"N/A",IF(ABS((T17-R17)/R17)&gt;0.25,"&gt; 25%","ok"))</f>
        <v>N/A</v>
      </c>
      <c r="BL17" s="87"/>
      <c r="BM17" s="105" t="str">
        <f>IF(OR(ISBLANK(T17),ISBLANK(V17)),"N/A",IF(ABS((V17-T17)/T17)&gt;0.25,"&gt; 25%","ok"))</f>
        <v>N/A</v>
      </c>
      <c r="BN17" s="124"/>
      <c r="BO17" s="105" t="str">
        <f>IF(OR(ISBLANK(V17),ISBLANK(X17)),"N/A",IF(ABS((X17-V17)/V17)&gt;0.25,"&gt; 25%","ok"))</f>
        <v>N/A</v>
      </c>
      <c r="BP17" s="123"/>
      <c r="BQ17" s="105" t="str">
        <f>IF(OR(ISBLANK(X17),ISBLANK(Z17)),"N/A",IF(ABS((Z17-X17)/X17)&gt;0.25,"&gt; 25%","ok"))</f>
        <v>N/A</v>
      </c>
      <c r="BR17" s="87"/>
      <c r="BS17" s="105" t="str">
        <f>IF(OR(ISBLANK(Z17),ISBLANK(AB17)),"N/A",IF(ABS((AB17-Z17)/Z17)&gt;0.25,"&gt; 25%","ok"))</f>
        <v>N/A</v>
      </c>
      <c r="BT17" s="124"/>
      <c r="BU17" s="105" t="str">
        <f>IF(OR(ISBLANK(AB17),ISBLANK(AD17)),"N/A",IF(ABS((AD17-AB17)/AB17)&gt;0.25,"&gt; 25%","ok"))</f>
        <v>N/A</v>
      </c>
      <c r="BV17" s="87"/>
      <c r="BW17" s="105" t="str">
        <f>IF(OR(ISBLANK(AD17),ISBLANK(AF17)),"N/A",IF(ABS((AF17-AD17)/AD17)&gt;0.25,"&gt; 25%","ok"))</f>
        <v>N/A</v>
      </c>
      <c r="BX17" s="87"/>
      <c r="BY17" s="105" t="str">
        <f>IF(OR(ISBLANK(AF17),ISBLANK(AH17)),"N/A",IF(ABS((AH17-AF17)/AF17)&gt;0.25,"&gt; 25%","ok"))</f>
        <v>N/A</v>
      </c>
      <c r="BZ17" s="123"/>
      <c r="CA17" s="105" t="str">
        <f>IF(OR(ISBLANK(AH17),ISBLANK(AJ17)),"N/A",IF(ABS((AJ17-AH17)/AH17)&gt;0.25,"&gt; 25%","ok"))</f>
        <v>N/A</v>
      </c>
      <c r="CB17" s="123"/>
      <c r="CC17" s="105" t="str">
        <f>IF(OR(ISBLANK(AJ17),ISBLANK(AL17)),"N/A",IF(ABS((AL17-AJ17)/AJ17)&gt;0.25,"&gt; 25%","ok"))</f>
        <v>N/A</v>
      </c>
      <c r="CD17" s="87"/>
      <c r="CE17" s="105" t="str">
        <f>IF(OR(ISBLANK(AL17),ISBLANK(AN17)),"N/A",IF(ABS((AN17-AL17)/AL17)&gt;0.25,"&gt; 25%","ok"))</f>
        <v>N/A</v>
      </c>
      <c r="CF17" s="124"/>
      <c r="CG17" s="105" t="str">
        <f t="shared" si="17"/>
        <v>N/A</v>
      </c>
      <c r="CH17" s="87"/>
      <c r="CI17" s="227"/>
      <c r="CJ17" s="312"/>
    </row>
    <row r="18" spans="2:88" ht="18.75" customHeight="1">
      <c r="B18" s="259">
        <v>109</v>
      </c>
      <c r="C18" s="279">
        <v>11</v>
      </c>
      <c r="D18" s="276" t="s">
        <v>109</v>
      </c>
      <c r="E18" s="279" t="s">
        <v>373</v>
      </c>
      <c r="F18" s="640"/>
      <c r="G18" s="873"/>
      <c r="H18" s="640"/>
      <c r="I18" s="873"/>
      <c r="J18" s="640"/>
      <c r="K18" s="873"/>
      <c r="L18" s="640"/>
      <c r="M18" s="873"/>
      <c r="N18" s="640"/>
      <c r="O18" s="873"/>
      <c r="P18" s="640"/>
      <c r="Q18" s="873"/>
      <c r="R18" s="640"/>
      <c r="S18" s="873"/>
      <c r="T18" s="640"/>
      <c r="U18" s="873"/>
      <c r="V18" s="640"/>
      <c r="W18" s="873"/>
      <c r="X18" s="640"/>
      <c r="Y18" s="873"/>
      <c r="Z18" s="640"/>
      <c r="AA18" s="873"/>
      <c r="AB18" s="640"/>
      <c r="AC18" s="873"/>
      <c r="AD18" s="640"/>
      <c r="AE18" s="873"/>
      <c r="AF18" s="640"/>
      <c r="AG18" s="873"/>
      <c r="AH18" s="640"/>
      <c r="AI18" s="873"/>
      <c r="AJ18" s="640"/>
      <c r="AK18" s="873"/>
      <c r="AL18" s="640"/>
      <c r="AM18" s="873"/>
      <c r="AN18" s="640"/>
      <c r="AO18" s="873"/>
      <c r="AP18" s="640"/>
      <c r="AQ18" s="873"/>
      <c r="AT18" s="87">
        <v>11</v>
      </c>
      <c r="AU18" s="271" t="s">
        <v>109</v>
      </c>
      <c r="AV18" s="87" t="s">
        <v>373</v>
      </c>
      <c r="AW18" s="125" t="s">
        <v>99</v>
      </c>
      <c r="AX18" s="124"/>
      <c r="AY18" s="105" t="str">
        <f t="shared" si="0"/>
        <v>N/A</v>
      </c>
      <c r="AZ18" s="123"/>
      <c r="BA18" s="105" t="str">
        <f t="shared" si="1"/>
        <v>N/A</v>
      </c>
      <c r="BB18" s="125"/>
      <c r="BC18" s="105" t="str">
        <f>IF(OR(ISBLANK(J18),ISBLANK(L18)),"N/A",IF(ABS((L18-J18)/J18)&gt;0.25,"&gt; 25%","ok"))</f>
        <v>N/A</v>
      </c>
      <c r="BD18" s="125"/>
      <c r="BE18" s="105" t="str">
        <f>IF(OR(ISBLANK(L18),ISBLANK(N18)),"N/A",IF(ABS((N18-L18)/L18)&gt;0.25,"&gt; 25%","ok"))</f>
        <v>N/A</v>
      </c>
      <c r="BF18" s="87"/>
      <c r="BG18" s="105" t="str">
        <f>IF(OR(ISBLANK(N18),ISBLANK(P18)),"N/A",IF(ABS((P18-N18)/N18)&gt;0.25,"&gt; 25%","ok"))</f>
        <v>N/A</v>
      </c>
      <c r="BH18" s="87"/>
      <c r="BI18" s="105" t="str">
        <f>IF(OR(ISBLANK(P18),ISBLANK(R18)),"N/A",IF(ABS((R18-P18)/P18)&gt;0.25,"&gt; 25%","ok"))</f>
        <v>N/A</v>
      </c>
      <c r="BJ18" s="123"/>
      <c r="BK18" s="105" t="str">
        <f>IF(OR(ISBLANK(R18),ISBLANK(T18)),"N/A",IF(ABS((T18-R18)/R18)&gt;0.25,"&gt; 25%","ok"))</f>
        <v>N/A</v>
      </c>
      <c r="BL18" s="87"/>
      <c r="BM18" s="105" t="str">
        <f>IF(OR(ISBLANK(T18),ISBLANK(V18)),"N/A",IF(ABS((V18-T18)/T18)&gt;0.25,"&gt; 25%","ok"))</f>
        <v>N/A</v>
      </c>
      <c r="BN18" s="124"/>
      <c r="BO18" s="105" t="str">
        <f>IF(OR(ISBLANK(V18),ISBLANK(X18)),"N/A",IF(ABS((X18-V18)/V18)&gt;0.25,"&gt; 25%","ok"))</f>
        <v>N/A</v>
      </c>
      <c r="BP18" s="123"/>
      <c r="BQ18" s="105" t="str">
        <f>IF(OR(ISBLANK(X18),ISBLANK(Z18)),"N/A",IF(ABS((Z18-X18)/X18)&gt;0.25,"&gt; 25%","ok"))</f>
        <v>N/A</v>
      </c>
      <c r="BR18" s="87"/>
      <c r="BS18" s="105" t="str">
        <f>IF(OR(ISBLANK(Z18),ISBLANK(AB18)),"N/A",IF(ABS((AB18-Z18)/Z18)&gt;0.25,"&gt; 25%","ok"))</f>
        <v>N/A</v>
      </c>
      <c r="BT18" s="124"/>
      <c r="BU18" s="105" t="str">
        <f>IF(OR(ISBLANK(AB18),ISBLANK(AD18)),"N/A",IF(ABS((AD18-AB18)/AB18)&gt;0.25,"&gt; 25%","ok"))</f>
        <v>N/A</v>
      </c>
      <c r="BV18" s="87"/>
      <c r="BW18" s="105" t="str">
        <f>IF(OR(ISBLANK(AD18),ISBLANK(AF18)),"N/A",IF(ABS((AF18-AD18)/AD18)&gt;0.25,"&gt; 25%","ok"))</f>
        <v>N/A</v>
      </c>
      <c r="BX18" s="87"/>
      <c r="BY18" s="105" t="str">
        <f>IF(OR(ISBLANK(AF18),ISBLANK(AH18)),"N/A",IF(ABS((AH18-AF18)/AF18)&gt;0.25,"&gt; 25%","ok"))</f>
        <v>N/A</v>
      </c>
      <c r="BZ18" s="123"/>
      <c r="CA18" s="105" t="str">
        <f>IF(OR(ISBLANK(AH18),ISBLANK(AJ18)),"N/A",IF(ABS((AJ18-AH18)/AH18)&gt;0.25,"&gt; 25%","ok"))</f>
        <v>N/A</v>
      </c>
      <c r="CB18" s="123"/>
      <c r="CC18" s="105" t="str">
        <f>IF(OR(ISBLANK(AJ18),ISBLANK(AL18)),"N/A",IF(ABS((AL18-AJ18)/AJ18)&gt;0.25,"&gt; 25%","ok"))</f>
        <v>N/A</v>
      </c>
      <c r="CD18" s="87"/>
      <c r="CE18" s="105" t="str">
        <f>IF(OR(ISBLANK(AL18),ISBLANK(AN18)),"N/A",IF(ABS((AN18-AL18)/AL18)&gt;0.25,"&gt; 25%","ok"))</f>
        <v>N/A</v>
      </c>
      <c r="CF18" s="124"/>
      <c r="CG18" s="105" t="str">
        <f t="shared" si="17"/>
        <v>N/A</v>
      </c>
      <c r="CH18" s="87"/>
      <c r="CI18" s="227"/>
      <c r="CJ18" s="312"/>
    </row>
    <row r="19" spans="2:88" ht="27" customHeight="1">
      <c r="B19" s="259">
        <v>90</v>
      </c>
      <c r="C19" s="279">
        <v>12</v>
      </c>
      <c r="D19" s="532" t="s">
        <v>558</v>
      </c>
      <c r="E19" s="279" t="s">
        <v>373</v>
      </c>
      <c r="F19" s="640"/>
      <c r="G19" s="873"/>
      <c r="H19" s="640"/>
      <c r="I19" s="873"/>
      <c r="J19" s="640"/>
      <c r="K19" s="873"/>
      <c r="L19" s="640"/>
      <c r="M19" s="873"/>
      <c r="N19" s="640"/>
      <c r="O19" s="873"/>
      <c r="P19" s="640"/>
      <c r="Q19" s="873"/>
      <c r="R19" s="640"/>
      <c r="S19" s="873"/>
      <c r="T19" s="640"/>
      <c r="U19" s="873"/>
      <c r="V19" s="640"/>
      <c r="W19" s="873"/>
      <c r="X19" s="640"/>
      <c r="Y19" s="873"/>
      <c r="Z19" s="640"/>
      <c r="AA19" s="873"/>
      <c r="AB19" s="640"/>
      <c r="AC19" s="873"/>
      <c r="AD19" s="640"/>
      <c r="AE19" s="873"/>
      <c r="AF19" s="640"/>
      <c r="AG19" s="873"/>
      <c r="AH19" s="640"/>
      <c r="AI19" s="873"/>
      <c r="AJ19" s="640"/>
      <c r="AK19" s="873"/>
      <c r="AL19" s="640"/>
      <c r="AM19" s="873"/>
      <c r="AN19" s="640"/>
      <c r="AO19" s="873"/>
      <c r="AP19" s="640"/>
      <c r="AQ19" s="873"/>
      <c r="AT19" s="87">
        <v>12</v>
      </c>
      <c r="AU19" s="488" t="s">
        <v>106</v>
      </c>
      <c r="AV19" s="87" t="s">
        <v>373</v>
      </c>
      <c r="AW19" s="87" t="s">
        <v>99</v>
      </c>
      <c r="AX19" s="125"/>
      <c r="AY19" s="105" t="str">
        <f t="shared" si="0"/>
        <v>N/A</v>
      </c>
      <c r="AZ19" s="87"/>
      <c r="BA19" s="105" t="str">
        <f t="shared" si="1"/>
        <v>N/A</v>
      </c>
      <c r="BB19" s="125"/>
      <c r="BC19" s="105" t="str">
        <f aca="true" t="shared" si="18" ref="BC19:BC24">IF(OR(ISBLANK(J19),ISBLANK(L19)),"N/A",IF(ABS((L19-J19)/J19)&gt;0.25,"&gt; 25%","ok"))</f>
        <v>N/A</v>
      </c>
      <c r="BD19" s="87"/>
      <c r="BE19" s="105" t="str">
        <f aca="true" t="shared" si="19" ref="BE19:BE24">IF(OR(ISBLANK(L19),ISBLANK(N19)),"N/A",IF(ABS((N19-L19)/L19)&gt;0.25,"&gt; 25%","ok"))</f>
        <v>N/A</v>
      </c>
      <c r="BF19" s="87"/>
      <c r="BG19" s="105" t="str">
        <f aca="true" t="shared" si="20" ref="BG19:BG24">IF(OR(ISBLANK(N19),ISBLANK(P19)),"N/A",IF(ABS((P19-N19)/N19)&gt;0.25,"&gt; 25%","ok"))</f>
        <v>N/A</v>
      </c>
      <c r="BH19" s="87"/>
      <c r="BI19" s="105" t="str">
        <f aca="true" t="shared" si="21" ref="BI19:BI24">IF(OR(ISBLANK(P19),ISBLANK(R19)),"N/A",IF(ABS((R19-P19)/P19)&gt;0.25,"&gt; 25%","ok"))</f>
        <v>N/A</v>
      </c>
      <c r="BJ19" s="123"/>
      <c r="BK19" s="105" t="str">
        <f aca="true" t="shared" si="22" ref="BK19:BK24">IF(OR(ISBLANK(R19),ISBLANK(T19)),"N/A",IF(ABS((T19-R19)/R19)&gt;0.25,"&gt; 25%","ok"))</f>
        <v>N/A</v>
      </c>
      <c r="BL19" s="87"/>
      <c r="BM19" s="105" t="str">
        <f aca="true" t="shared" si="23" ref="BM19:BM24">IF(OR(ISBLANK(T19),ISBLANK(V19)),"N/A",IF(ABS((V19-T19)/T19)&gt;0.25,"&gt; 25%","ok"))</f>
        <v>N/A</v>
      </c>
      <c r="BN19" s="124"/>
      <c r="BO19" s="105" t="str">
        <f aca="true" t="shared" si="24" ref="BO19:BO24">IF(OR(ISBLANK(V19),ISBLANK(X19)),"N/A",IF(ABS((X19-V19)/V19)&gt;0.25,"&gt; 25%","ok"))</f>
        <v>N/A</v>
      </c>
      <c r="BP19" s="123"/>
      <c r="BQ19" s="105" t="str">
        <f aca="true" t="shared" si="25" ref="BQ19:BQ24">IF(OR(ISBLANK(X19),ISBLANK(Z19)),"N/A",IF(ABS((Z19-X19)/X19)&gt;0.25,"&gt; 25%","ok"))</f>
        <v>N/A</v>
      </c>
      <c r="BR19" s="87"/>
      <c r="BS19" s="105" t="str">
        <f aca="true" t="shared" si="26" ref="BS19:BS24">IF(OR(ISBLANK(Z19),ISBLANK(AB19)),"N/A",IF(ABS((AB19-Z19)/Z19)&gt;0.25,"&gt; 25%","ok"))</f>
        <v>N/A</v>
      </c>
      <c r="BT19" s="124"/>
      <c r="BU19" s="105" t="str">
        <f aca="true" t="shared" si="27" ref="BU19:BU24">IF(OR(ISBLANK(AB19),ISBLANK(AD19)),"N/A",IF(ABS((AD19-AB19)/AB19)&gt;0.25,"&gt; 25%","ok"))</f>
        <v>N/A</v>
      </c>
      <c r="BV19" s="87"/>
      <c r="BW19" s="105" t="str">
        <f aca="true" t="shared" si="28" ref="BW19:BW24">IF(OR(ISBLANK(AD19),ISBLANK(AF19)),"N/A",IF(ABS((AF19-AD19)/AD19)&gt;0.25,"&gt; 25%","ok"))</f>
        <v>N/A</v>
      </c>
      <c r="BX19" s="87"/>
      <c r="BY19" s="105" t="str">
        <f aca="true" t="shared" si="29" ref="BY19:BY24">IF(OR(ISBLANK(AF19),ISBLANK(AH19)),"N/A",IF(ABS((AH19-AF19)/AF19)&gt;0.25,"&gt; 25%","ok"))</f>
        <v>N/A</v>
      </c>
      <c r="BZ19" s="123"/>
      <c r="CA19" s="105" t="str">
        <f aca="true" t="shared" si="30" ref="CA19:CA24">IF(OR(ISBLANK(AH19),ISBLANK(AJ19)),"N/A",IF(ABS((AJ19-AH19)/AH19)&gt;0.25,"&gt; 25%","ok"))</f>
        <v>N/A</v>
      </c>
      <c r="CB19" s="123"/>
      <c r="CC19" s="105" t="str">
        <f aca="true" t="shared" si="31" ref="CC19:CC24">IF(OR(ISBLANK(AJ19),ISBLANK(AL19)),"N/A",IF(ABS((AL19-AJ19)/AJ19)&gt;0.25,"&gt; 25%","ok"))</f>
        <v>N/A</v>
      </c>
      <c r="CD19" s="87"/>
      <c r="CE19" s="105" t="str">
        <f aca="true" t="shared" si="32" ref="CE19:CE24">IF(OR(ISBLANK(AL19),ISBLANK(AN19)),"N/A",IF(ABS((AN19-AL19)/AL19)&gt;0.25,"&gt; 25%","ok"))</f>
        <v>N/A</v>
      </c>
      <c r="CF19" s="124"/>
      <c r="CG19" s="105" t="str">
        <f t="shared" si="17"/>
        <v>N/A</v>
      </c>
      <c r="CH19" s="87"/>
      <c r="CI19" s="227"/>
      <c r="CJ19" s="312"/>
    </row>
    <row r="20" spans="2:88" ht="18.75" customHeight="1">
      <c r="B20" s="259">
        <v>91</v>
      </c>
      <c r="C20" s="279">
        <v>13</v>
      </c>
      <c r="D20" s="485" t="s">
        <v>107</v>
      </c>
      <c r="E20" s="279" t="s">
        <v>373</v>
      </c>
      <c r="F20" s="640"/>
      <c r="G20" s="873"/>
      <c r="H20" s="640"/>
      <c r="I20" s="873"/>
      <c r="J20" s="640"/>
      <c r="K20" s="873"/>
      <c r="L20" s="640"/>
      <c r="M20" s="873"/>
      <c r="N20" s="640"/>
      <c r="O20" s="873"/>
      <c r="P20" s="640"/>
      <c r="Q20" s="873"/>
      <c r="R20" s="640"/>
      <c r="S20" s="873"/>
      <c r="T20" s="640"/>
      <c r="U20" s="873"/>
      <c r="V20" s="640"/>
      <c r="W20" s="873"/>
      <c r="X20" s="640"/>
      <c r="Y20" s="873"/>
      <c r="Z20" s="640"/>
      <c r="AA20" s="873"/>
      <c r="AB20" s="640"/>
      <c r="AC20" s="873"/>
      <c r="AD20" s="640"/>
      <c r="AE20" s="873"/>
      <c r="AF20" s="640"/>
      <c r="AG20" s="873"/>
      <c r="AH20" s="640"/>
      <c r="AI20" s="873"/>
      <c r="AJ20" s="640"/>
      <c r="AK20" s="873"/>
      <c r="AL20" s="640"/>
      <c r="AM20" s="873"/>
      <c r="AN20" s="640"/>
      <c r="AO20" s="873"/>
      <c r="AP20" s="640"/>
      <c r="AQ20" s="873"/>
      <c r="AT20" s="87">
        <v>13</v>
      </c>
      <c r="AU20" s="488" t="s">
        <v>107</v>
      </c>
      <c r="AV20" s="87" t="s">
        <v>373</v>
      </c>
      <c r="AW20" s="87" t="s">
        <v>99</v>
      </c>
      <c r="AX20" s="125"/>
      <c r="AY20" s="105" t="str">
        <f t="shared" si="0"/>
        <v>N/A</v>
      </c>
      <c r="AZ20" s="87"/>
      <c r="BA20" s="105" t="str">
        <f t="shared" si="1"/>
        <v>N/A</v>
      </c>
      <c r="BB20" s="87"/>
      <c r="BC20" s="105" t="str">
        <f t="shared" si="18"/>
        <v>N/A</v>
      </c>
      <c r="BD20" s="87"/>
      <c r="BE20" s="105" t="str">
        <f t="shared" si="19"/>
        <v>N/A</v>
      </c>
      <c r="BF20" s="87"/>
      <c r="BG20" s="105" t="str">
        <f t="shared" si="20"/>
        <v>N/A</v>
      </c>
      <c r="BH20" s="87"/>
      <c r="BI20" s="105" t="str">
        <f t="shared" si="21"/>
        <v>N/A</v>
      </c>
      <c r="BJ20" s="123"/>
      <c r="BK20" s="105" t="str">
        <f t="shared" si="22"/>
        <v>N/A</v>
      </c>
      <c r="BL20" s="87"/>
      <c r="BM20" s="105" t="str">
        <f t="shared" si="23"/>
        <v>N/A</v>
      </c>
      <c r="BN20" s="125"/>
      <c r="BO20" s="105" t="str">
        <f t="shared" si="24"/>
        <v>N/A</v>
      </c>
      <c r="BP20" s="123"/>
      <c r="BQ20" s="105" t="str">
        <f t="shared" si="25"/>
        <v>N/A</v>
      </c>
      <c r="BR20" s="87"/>
      <c r="BS20" s="105" t="str">
        <f t="shared" si="26"/>
        <v>N/A</v>
      </c>
      <c r="BT20" s="125"/>
      <c r="BU20" s="105" t="str">
        <f t="shared" si="27"/>
        <v>N/A</v>
      </c>
      <c r="BV20" s="87"/>
      <c r="BW20" s="105" t="str">
        <f t="shared" si="28"/>
        <v>N/A</v>
      </c>
      <c r="BX20" s="87"/>
      <c r="BY20" s="105" t="str">
        <f t="shared" si="29"/>
        <v>N/A</v>
      </c>
      <c r="BZ20" s="123"/>
      <c r="CA20" s="105" t="str">
        <f t="shared" si="30"/>
        <v>N/A</v>
      </c>
      <c r="CB20" s="123"/>
      <c r="CC20" s="105" t="str">
        <f t="shared" si="31"/>
        <v>N/A</v>
      </c>
      <c r="CD20" s="87"/>
      <c r="CE20" s="105" t="str">
        <f t="shared" si="32"/>
        <v>N/A</v>
      </c>
      <c r="CF20" s="125"/>
      <c r="CG20" s="105" t="str">
        <f t="shared" si="17"/>
        <v>N/A</v>
      </c>
      <c r="CH20" s="87"/>
      <c r="CI20" s="227"/>
      <c r="CJ20" s="312"/>
    </row>
    <row r="21" spans="2:88" ht="18.75" customHeight="1">
      <c r="B21" s="259">
        <v>92</v>
      </c>
      <c r="C21" s="279">
        <v>14</v>
      </c>
      <c r="D21" s="485" t="s">
        <v>108</v>
      </c>
      <c r="E21" s="279" t="s">
        <v>373</v>
      </c>
      <c r="F21" s="640"/>
      <c r="G21" s="873"/>
      <c r="H21" s="640"/>
      <c r="I21" s="873"/>
      <c r="J21" s="640"/>
      <c r="K21" s="873"/>
      <c r="L21" s="640"/>
      <c r="M21" s="873"/>
      <c r="N21" s="640"/>
      <c r="O21" s="873"/>
      <c r="P21" s="640"/>
      <c r="Q21" s="873"/>
      <c r="R21" s="640"/>
      <c r="S21" s="873"/>
      <c r="T21" s="640"/>
      <c r="U21" s="873"/>
      <c r="V21" s="640"/>
      <c r="W21" s="873"/>
      <c r="X21" s="640"/>
      <c r="Y21" s="873"/>
      <c r="Z21" s="640"/>
      <c r="AA21" s="873"/>
      <c r="AB21" s="640"/>
      <c r="AC21" s="873"/>
      <c r="AD21" s="640"/>
      <c r="AE21" s="873"/>
      <c r="AF21" s="640"/>
      <c r="AG21" s="873"/>
      <c r="AH21" s="640"/>
      <c r="AI21" s="873"/>
      <c r="AJ21" s="640"/>
      <c r="AK21" s="873"/>
      <c r="AL21" s="640"/>
      <c r="AM21" s="873"/>
      <c r="AN21" s="640"/>
      <c r="AO21" s="873"/>
      <c r="AP21" s="640"/>
      <c r="AQ21" s="873"/>
      <c r="AT21" s="87">
        <v>14</v>
      </c>
      <c r="AU21" s="488" t="s">
        <v>108</v>
      </c>
      <c r="AV21" s="87" t="s">
        <v>373</v>
      </c>
      <c r="AW21" s="87" t="s">
        <v>99</v>
      </c>
      <c r="AX21" s="125"/>
      <c r="AY21" s="105" t="str">
        <f t="shared" si="0"/>
        <v>N/A</v>
      </c>
      <c r="AZ21" s="87"/>
      <c r="BA21" s="105" t="str">
        <f t="shared" si="1"/>
        <v>N/A</v>
      </c>
      <c r="BB21" s="87"/>
      <c r="BC21" s="105" t="str">
        <f t="shared" si="18"/>
        <v>N/A</v>
      </c>
      <c r="BD21" s="87"/>
      <c r="BE21" s="105" t="str">
        <f t="shared" si="19"/>
        <v>N/A</v>
      </c>
      <c r="BF21" s="87"/>
      <c r="BG21" s="105" t="str">
        <f t="shared" si="20"/>
        <v>N/A</v>
      </c>
      <c r="BH21" s="87"/>
      <c r="BI21" s="105" t="str">
        <f t="shared" si="21"/>
        <v>N/A</v>
      </c>
      <c r="BJ21" s="123"/>
      <c r="BK21" s="105" t="str">
        <f t="shared" si="22"/>
        <v>N/A</v>
      </c>
      <c r="BL21" s="125"/>
      <c r="BM21" s="105" t="str">
        <f t="shared" si="23"/>
        <v>N/A</v>
      </c>
      <c r="BN21" s="125"/>
      <c r="BO21" s="105" t="str">
        <f t="shared" si="24"/>
        <v>N/A</v>
      </c>
      <c r="BP21" s="87"/>
      <c r="BQ21" s="105" t="str">
        <f t="shared" si="25"/>
        <v>N/A</v>
      </c>
      <c r="BR21" s="125"/>
      <c r="BS21" s="105" t="str">
        <f t="shared" si="26"/>
        <v>N/A</v>
      </c>
      <c r="BT21" s="125"/>
      <c r="BU21" s="105" t="str">
        <f t="shared" si="27"/>
        <v>N/A</v>
      </c>
      <c r="BV21" s="87"/>
      <c r="BW21" s="105" t="str">
        <f t="shared" si="28"/>
        <v>N/A</v>
      </c>
      <c r="BX21" s="87"/>
      <c r="BY21" s="105" t="str">
        <f t="shared" si="29"/>
        <v>N/A</v>
      </c>
      <c r="BZ21" s="123"/>
      <c r="CA21" s="105" t="str">
        <f t="shared" si="30"/>
        <v>N/A</v>
      </c>
      <c r="CB21" s="123"/>
      <c r="CC21" s="105" t="str">
        <f t="shared" si="31"/>
        <v>N/A</v>
      </c>
      <c r="CD21" s="125"/>
      <c r="CE21" s="105" t="str">
        <f t="shared" si="32"/>
        <v>N/A</v>
      </c>
      <c r="CF21" s="125"/>
      <c r="CG21" s="105" t="str">
        <f t="shared" si="17"/>
        <v>N/A</v>
      </c>
      <c r="CH21" s="87"/>
      <c r="CI21" s="227"/>
      <c r="CJ21" s="312"/>
    </row>
    <row r="22" spans="2:88" ht="27" customHeight="1">
      <c r="B22" s="259">
        <v>105</v>
      </c>
      <c r="C22" s="279">
        <v>15</v>
      </c>
      <c r="D22" s="289" t="s">
        <v>110</v>
      </c>
      <c r="E22" s="279" t="s">
        <v>373</v>
      </c>
      <c r="F22" s="640"/>
      <c r="G22" s="873"/>
      <c r="H22" s="640"/>
      <c r="I22" s="873"/>
      <c r="J22" s="640"/>
      <c r="K22" s="873"/>
      <c r="L22" s="640"/>
      <c r="M22" s="873"/>
      <c r="N22" s="640"/>
      <c r="O22" s="873"/>
      <c r="P22" s="640"/>
      <c r="Q22" s="873"/>
      <c r="R22" s="640"/>
      <c r="S22" s="873"/>
      <c r="T22" s="640"/>
      <c r="U22" s="873"/>
      <c r="V22" s="640"/>
      <c r="W22" s="873"/>
      <c r="X22" s="640"/>
      <c r="Y22" s="873"/>
      <c r="Z22" s="640"/>
      <c r="AA22" s="873"/>
      <c r="AB22" s="640"/>
      <c r="AC22" s="873"/>
      <c r="AD22" s="640"/>
      <c r="AE22" s="873"/>
      <c r="AF22" s="640"/>
      <c r="AG22" s="873"/>
      <c r="AH22" s="640"/>
      <c r="AI22" s="873"/>
      <c r="AJ22" s="640"/>
      <c r="AK22" s="873"/>
      <c r="AL22" s="640"/>
      <c r="AM22" s="873"/>
      <c r="AN22" s="640"/>
      <c r="AO22" s="873"/>
      <c r="AP22" s="640"/>
      <c r="AQ22" s="873"/>
      <c r="AT22" s="87">
        <v>15</v>
      </c>
      <c r="AU22" s="290" t="s">
        <v>110</v>
      </c>
      <c r="AV22" s="87" t="s">
        <v>373</v>
      </c>
      <c r="AW22" s="87" t="s">
        <v>99</v>
      </c>
      <c r="AX22" s="125"/>
      <c r="AY22" s="105" t="str">
        <f t="shared" si="0"/>
        <v>N/A</v>
      </c>
      <c r="AZ22" s="87"/>
      <c r="BA22" s="105" t="str">
        <f t="shared" si="1"/>
        <v>N/A</v>
      </c>
      <c r="BB22" s="87"/>
      <c r="BC22" s="105" t="str">
        <f t="shared" si="18"/>
        <v>N/A</v>
      </c>
      <c r="BD22" s="87"/>
      <c r="BE22" s="105" t="str">
        <f t="shared" si="19"/>
        <v>N/A</v>
      </c>
      <c r="BF22" s="87"/>
      <c r="BG22" s="105" t="str">
        <f t="shared" si="20"/>
        <v>N/A</v>
      </c>
      <c r="BH22" s="87"/>
      <c r="BI22" s="105" t="str">
        <f t="shared" si="21"/>
        <v>N/A</v>
      </c>
      <c r="BJ22" s="123"/>
      <c r="BK22" s="105" t="str">
        <f t="shared" si="22"/>
        <v>N/A</v>
      </c>
      <c r="BL22" s="125"/>
      <c r="BM22" s="105" t="str">
        <f t="shared" si="23"/>
        <v>N/A</v>
      </c>
      <c r="BN22" s="125"/>
      <c r="BO22" s="105" t="str">
        <f t="shared" si="24"/>
        <v>N/A</v>
      </c>
      <c r="BP22" s="87"/>
      <c r="BQ22" s="105" t="str">
        <f t="shared" si="25"/>
        <v>N/A</v>
      </c>
      <c r="BR22" s="125"/>
      <c r="BS22" s="105" t="str">
        <f t="shared" si="26"/>
        <v>N/A</v>
      </c>
      <c r="BT22" s="125"/>
      <c r="BU22" s="105" t="str">
        <f t="shared" si="27"/>
        <v>N/A</v>
      </c>
      <c r="BV22" s="87"/>
      <c r="BW22" s="105" t="str">
        <f t="shared" si="28"/>
        <v>N/A</v>
      </c>
      <c r="BX22" s="87"/>
      <c r="BY22" s="105" t="str">
        <f t="shared" si="29"/>
        <v>N/A</v>
      </c>
      <c r="BZ22" s="123"/>
      <c r="CA22" s="105" t="str">
        <f t="shared" si="30"/>
        <v>N/A</v>
      </c>
      <c r="CB22" s="123"/>
      <c r="CC22" s="105" t="str">
        <f t="shared" si="31"/>
        <v>N/A</v>
      </c>
      <c r="CD22" s="125"/>
      <c r="CE22" s="105" t="str">
        <f t="shared" si="32"/>
        <v>N/A</v>
      </c>
      <c r="CF22" s="125"/>
      <c r="CG22" s="105" t="str">
        <f t="shared" si="17"/>
        <v>N/A</v>
      </c>
      <c r="CH22" s="87"/>
      <c r="CI22" s="227"/>
      <c r="CJ22" s="312"/>
    </row>
    <row r="23" spans="1:88" ht="18.75" customHeight="1">
      <c r="A23" s="230"/>
      <c r="B23" s="259">
        <v>2414</v>
      </c>
      <c r="C23" s="533">
        <v>16</v>
      </c>
      <c r="D23" s="534" t="s">
        <v>148</v>
      </c>
      <c r="E23" s="279" t="s">
        <v>373</v>
      </c>
      <c r="F23" s="652"/>
      <c r="G23" s="874"/>
      <c r="H23" s="652"/>
      <c r="I23" s="874"/>
      <c r="J23" s="652"/>
      <c r="K23" s="874"/>
      <c r="L23" s="652"/>
      <c r="M23" s="874"/>
      <c r="N23" s="652"/>
      <c r="O23" s="874"/>
      <c r="P23" s="652"/>
      <c r="Q23" s="874"/>
      <c r="R23" s="652"/>
      <c r="S23" s="874"/>
      <c r="T23" s="652"/>
      <c r="U23" s="874"/>
      <c r="V23" s="652"/>
      <c r="W23" s="874"/>
      <c r="X23" s="652"/>
      <c r="Y23" s="874"/>
      <c r="Z23" s="652"/>
      <c r="AA23" s="874"/>
      <c r="AB23" s="652"/>
      <c r="AC23" s="874"/>
      <c r="AD23" s="652"/>
      <c r="AE23" s="874"/>
      <c r="AF23" s="652"/>
      <c r="AG23" s="874"/>
      <c r="AH23" s="652"/>
      <c r="AI23" s="874"/>
      <c r="AJ23" s="652"/>
      <c r="AK23" s="874"/>
      <c r="AL23" s="652"/>
      <c r="AM23" s="874"/>
      <c r="AN23" s="652"/>
      <c r="AO23" s="874"/>
      <c r="AP23" s="652"/>
      <c r="AQ23" s="874"/>
      <c r="AR23" s="412"/>
      <c r="AS23" s="233"/>
      <c r="AT23" s="284">
        <v>16</v>
      </c>
      <c r="AU23" s="535" t="s">
        <v>148</v>
      </c>
      <c r="AV23" s="87" t="s">
        <v>373</v>
      </c>
      <c r="AW23" s="87" t="s">
        <v>99</v>
      </c>
      <c r="AX23" s="125"/>
      <c r="AY23" s="105" t="str">
        <f t="shared" si="0"/>
        <v>N/A</v>
      </c>
      <c r="AZ23" s="87"/>
      <c r="BA23" s="105" t="str">
        <f t="shared" si="1"/>
        <v>N/A</v>
      </c>
      <c r="BB23" s="87"/>
      <c r="BC23" s="105" t="str">
        <f t="shared" si="18"/>
        <v>N/A</v>
      </c>
      <c r="BD23" s="87"/>
      <c r="BE23" s="105" t="str">
        <f t="shared" si="19"/>
        <v>N/A</v>
      </c>
      <c r="BF23" s="87"/>
      <c r="BG23" s="105" t="str">
        <f t="shared" si="20"/>
        <v>N/A</v>
      </c>
      <c r="BH23" s="87"/>
      <c r="BI23" s="105" t="str">
        <f t="shared" si="21"/>
        <v>N/A</v>
      </c>
      <c r="BJ23" s="87"/>
      <c r="BK23" s="105" t="str">
        <f t="shared" si="22"/>
        <v>N/A</v>
      </c>
      <c r="BL23" s="125"/>
      <c r="BM23" s="105" t="str">
        <f t="shared" si="23"/>
        <v>N/A</v>
      </c>
      <c r="BN23" s="87"/>
      <c r="BO23" s="105" t="str">
        <f t="shared" si="24"/>
        <v>N/A</v>
      </c>
      <c r="BP23" s="87"/>
      <c r="BQ23" s="105" t="str">
        <f t="shared" si="25"/>
        <v>N/A</v>
      </c>
      <c r="BR23" s="125"/>
      <c r="BS23" s="105" t="str">
        <f t="shared" si="26"/>
        <v>N/A</v>
      </c>
      <c r="BT23" s="87"/>
      <c r="BU23" s="105" t="str">
        <f t="shared" si="27"/>
        <v>N/A</v>
      </c>
      <c r="BV23" s="87"/>
      <c r="BW23" s="105" t="str">
        <f t="shared" si="28"/>
        <v>N/A</v>
      </c>
      <c r="BX23" s="87"/>
      <c r="BY23" s="105" t="str">
        <f t="shared" si="29"/>
        <v>N/A</v>
      </c>
      <c r="BZ23" s="87"/>
      <c r="CA23" s="105" t="str">
        <f t="shared" si="30"/>
        <v>N/A</v>
      </c>
      <c r="CB23" s="87"/>
      <c r="CC23" s="105" t="str">
        <f t="shared" si="31"/>
        <v>N/A</v>
      </c>
      <c r="CD23" s="125"/>
      <c r="CE23" s="105" t="str">
        <f t="shared" si="32"/>
        <v>N/A</v>
      </c>
      <c r="CF23" s="87"/>
      <c r="CG23" s="105" t="str">
        <f t="shared" si="17"/>
        <v>N/A</v>
      </c>
      <c r="CH23" s="87"/>
      <c r="CI23" s="227"/>
      <c r="CJ23" s="312"/>
    </row>
    <row r="24" spans="2:88" ht="18.75" customHeight="1">
      <c r="B24" s="536">
        <v>160</v>
      </c>
      <c r="C24" s="425">
        <v>17</v>
      </c>
      <c r="D24" s="537" t="s">
        <v>39</v>
      </c>
      <c r="E24" s="425" t="s">
        <v>374</v>
      </c>
      <c r="F24" s="645"/>
      <c r="G24" s="875"/>
      <c r="H24" s="645"/>
      <c r="I24" s="875"/>
      <c r="J24" s="645"/>
      <c r="K24" s="875"/>
      <c r="L24" s="645"/>
      <c r="M24" s="875"/>
      <c r="N24" s="645"/>
      <c r="O24" s="875"/>
      <c r="P24" s="645"/>
      <c r="Q24" s="875"/>
      <c r="R24" s="645"/>
      <c r="S24" s="875"/>
      <c r="T24" s="645"/>
      <c r="U24" s="875"/>
      <c r="V24" s="645"/>
      <c r="W24" s="875"/>
      <c r="X24" s="645"/>
      <c r="Y24" s="875"/>
      <c r="Z24" s="645"/>
      <c r="AA24" s="875"/>
      <c r="AB24" s="645"/>
      <c r="AC24" s="875"/>
      <c r="AD24" s="623"/>
      <c r="AE24" s="875"/>
      <c r="AF24" s="645"/>
      <c r="AG24" s="875"/>
      <c r="AH24" s="645"/>
      <c r="AI24" s="875"/>
      <c r="AJ24" s="645"/>
      <c r="AK24" s="875"/>
      <c r="AL24" s="645"/>
      <c r="AM24" s="875"/>
      <c r="AN24" s="645"/>
      <c r="AO24" s="875"/>
      <c r="AP24" s="645"/>
      <c r="AQ24" s="875"/>
      <c r="AT24" s="103">
        <v>17</v>
      </c>
      <c r="AU24" s="538" t="s">
        <v>39</v>
      </c>
      <c r="AV24" s="103" t="s">
        <v>374</v>
      </c>
      <c r="AW24" s="103" t="s">
        <v>99</v>
      </c>
      <c r="AX24" s="539"/>
      <c r="AY24" s="103" t="str">
        <f t="shared" si="0"/>
        <v>N/A</v>
      </c>
      <c r="AZ24" s="103"/>
      <c r="BA24" s="103" t="str">
        <f t="shared" si="1"/>
        <v>N/A</v>
      </c>
      <c r="BB24" s="103"/>
      <c r="BC24" s="103" t="str">
        <f t="shared" si="18"/>
        <v>N/A</v>
      </c>
      <c r="BD24" s="103"/>
      <c r="BE24" s="103" t="str">
        <f t="shared" si="19"/>
        <v>N/A</v>
      </c>
      <c r="BF24" s="103"/>
      <c r="BG24" s="103" t="str">
        <f t="shared" si="20"/>
        <v>N/A</v>
      </c>
      <c r="BH24" s="103"/>
      <c r="BI24" s="103" t="str">
        <f t="shared" si="21"/>
        <v>N/A</v>
      </c>
      <c r="BJ24" s="103"/>
      <c r="BK24" s="103" t="str">
        <f t="shared" si="22"/>
        <v>N/A</v>
      </c>
      <c r="BL24" s="103"/>
      <c r="BM24" s="103" t="str">
        <f t="shared" si="23"/>
        <v>N/A</v>
      </c>
      <c r="BN24" s="103"/>
      <c r="BO24" s="103" t="str">
        <f t="shared" si="24"/>
        <v>N/A</v>
      </c>
      <c r="BP24" s="103"/>
      <c r="BQ24" s="103" t="str">
        <f t="shared" si="25"/>
        <v>N/A</v>
      </c>
      <c r="BR24" s="103"/>
      <c r="BS24" s="103" t="str">
        <f t="shared" si="26"/>
        <v>N/A</v>
      </c>
      <c r="BT24" s="103"/>
      <c r="BU24" s="103" t="str">
        <f t="shared" si="27"/>
        <v>N/A</v>
      </c>
      <c r="BV24" s="103"/>
      <c r="BW24" s="103" t="str">
        <f t="shared" si="28"/>
        <v>N/A</v>
      </c>
      <c r="BX24" s="103"/>
      <c r="BY24" s="103" t="str">
        <f t="shared" si="29"/>
        <v>N/A</v>
      </c>
      <c r="BZ24" s="103"/>
      <c r="CA24" s="103" t="str">
        <f t="shared" si="30"/>
        <v>N/A</v>
      </c>
      <c r="CB24" s="103"/>
      <c r="CC24" s="103" t="str">
        <f t="shared" si="31"/>
        <v>N/A</v>
      </c>
      <c r="CD24" s="103"/>
      <c r="CE24" s="103" t="str">
        <f t="shared" si="32"/>
        <v>N/A</v>
      </c>
      <c r="CF24" s="103"/>
      <c r="CG24" s="103" t="str">
        <f t="shared" si="17"/>
        <v>N/A</v>
      </c>
      <c r="CH24" s="103"/>
      <c r="CI24" s="227"/>
      <c r="CJ24" s="312"/>
    </row>
    <row r="25" spans="3:88" ht="4.5" customHeight="1">
      <c r="C25" s="540"/>
      <c r="D25" s="226"/>
      <c r="E25" s="541"/>
      <c r="F25" s="226"/>
      <c r="G25" s="226"/>
      <c r="H25" s="226"/>
      <c r="I25" s="225"/>
      <c r="J25" s="317"/>
      <c r="K25" s="225"/>
      <c r="L25" s="317"/>
      <c r="M25" s="225"/>
      <c r="N25" s="317"/>
      <c r="O25" s="225"/>
      <c r="P25" s="317"/>
      <c r="Q25" s="225"/>
      <c r="R25" s="226"/>
      <c r="S25" s="225"/>
      <c r="T25" s="226"/>
      <c r="U25" s="225"/>
      <c r="V25" s="226"/>
      <c r="W25" s="225"/>
      <c r="X25" s="226"/>
      <c r="Y25" s="225"/>
      <c r="Z25" s="226"/>
      <c r="AA25" s="225"/>
      <c r="AB25" s="226"/>
      <c r="AC25" s="225"/>
      <c r="AD25" s="317"/>
      <c r="AE25" s="225"/>
      <c r="AF25" s="226"/>
      <c r="AG25" s="225"/>
      <c r="AH25" s="226"/>
      <c r="AI25" s="372"/>
      <c r="AJ25" s="372"/>
      <c r="AK25" s="372"/>
      <c r="AL25" s="372"/>
      <c r="AM25" s="372"/>
      <c r="AT25" s="542"/>
      <c r="AU25" s="104"/>
      <c r="AV25" s="543"/>
      <c r="AW25" s="544"/>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CI25" s="227"/>
      <c r="CJ25" s="312"/>
    </row>
    <row r="26" spans="1:88" s="412" customFormat="1" ht="9.75" customHeight="1">
      <c r="A26" s="198"/>
      <c r="B26" s="199"/>
      <c r="C26" s="385" t="s">
        <v>378</v>
      </c>
      <c r="D26" s="296"/>
      <c r="E26" s="498"/>
      <c r="F26" s="385"/>
      <c r="G26" s="385"/>
      <c r="H26" s="239"/>
      <c r="I26" s="240"/>
      <c r="J26" s="241"/>
      <c r="K26" s="240"/>
      <c r="L26" s="241"/>
      <c r="M26" s="240"/>
      <c r="N26" s="241"/>
      <c r="O26" s="240"/>
      <c r="P26" s="241"/>
      <c r="Q26" s="240"/>
      <c r="R26" s="239"/>
      <c r="S26" s="240"/>
      <c r="T26" s="239"/>
      <c r="U26" s="240"/>
      <c r="V26" s="239"/>
      <c r="W26" s="240"/>
      <c r="X26" s="239"/>
      <c r="Y26" s="240"/>
      <c r="Z26" s="239"/>
      <c r="AA26" s="240"/>
      <c r="AB26" s="239"/>
      <c r="AC26" s="240"/>
      <c r="AD26" s="241"/>
      <c r="AE26" s="240"/>
      <c r="AF26" s="239"/>
      <c r="AG26" s="240"/>
      <c r="AH26" s="239"/>
      <c r="AI26" s="240"/>
      <c r="AJ26" s="240"/>
      <c r="AK26" s="240"/>
      <c r="AL26" s="240"/>
      <c r="AM26" s="240"/>
      <c r="AN26" s="239"/>
      <c r="AO26" s="240"/>
      <c r="AP26" s="239"/>
      <c r="AQ26" s="240"/>
      <c r="AR26" s="211"/>
      <c r="AS26" s="209"/>
      <c r="AT26" s="396" t="s">
        <v>54</v>
      </c>
      <c r="AU26" s="20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227"/>
      <c r="CJ26" s="545"/>
    </row>
    <row r="27" spans="3:88" ht="18" customHeight="1">
      <c r="C27" s="305" t="s">
        <v>169</v>
      </c>
      <c r="D27" s="739" t="s">
        <v>325</v>
      </c>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39"/>
      <c r="AT27" s="253" t="s">
        <v>359</v>
      </c>
      <c r="AU27" s="253" t="s">
        <v>361</v>
      </c>
      <c r="AV27" s="253" t="s">
        <v>364</v>
      </c>
      <c r="AW27" s="252">
        <v>1990</v>
      </c>
      <c r="AX27" s="254"/>
      <c r="AY27" s="253">
        <v>1995</v>
      </c>
      <c r="AZ27" s="254"/>
      <c r="BA27" s="253">
        <v>1996</v>
      </c>
      <c r="BB27" s="254"/>
      <c r="BC27" s="253">
        <v>1997</v>
      </c>
      <c r="BD27" s="254"/>
      <c r="BE27" s="253">
        <v>1998</v>
      </c>
      <c r="BF27" s="254"/>
      <c r="BG27" s="253">
        <v>1999</v>
      </c>
      <c r="BH27" s="254"/>
      <c r="BI27" s="253">
        <v>2000</v>
      </c>
      <c r="BJ27" s="254"/>
      <c r="BK27" s="253">
        <v>2001</v>
      </c>
      <c r="BL27" s="254"/>
      <c r="BM27" s="253">
        <v>2002</v>
      </c>
      <c r="BN27" s="254"/>
      <c r="BO27" s="253">
        <v>2003</v>
      </c>
      <c r="BP27" s="254"/>
      <c r="BQ27" s="253">
        <v>2004</v>
      </c>
      <c r="BR27" s="254"/>
      <c r="BS27" s="253">
        <v>2005</v>
      </c>
      <c r="BT27" s="254"/>
      <c r="BU27" s="253">
        <v>2006</v>
      </c>
      <c r="BV27" s="254"/>
      <c r="BW27" s="253">
        <v>2007</v>
      </c>
      <c r="BX27" s="254"/>
      <c r="BY27" s="253">
        <v>2008</v>
      </c>
      <c r="BZ27" s="254"/>
      <c r="CA27" s="253">
        <v>2009</v>
      </c>
      <c r="CB27" s="254"/>
      <c r="CC27" s="253">
        <v>2010</v>
      </c>
      <c r="CD27" s="254"/>
      <c r="CE27" s="253">
        <v>2011</v>
      </c>
      <c r="CF27" s="254"/>
      <c r="CG27" s="253">
        <v>2012</v>
      </c>
      <c r="CH27" s="254"/>
      <c r="CI27" s="227"/>
      <c r="CJ27" s="312"/>
    </row>
    <row r="28" spans="1:88" ht="32.25" customHeight="1">
      <c r="A28" s="307"/>
      <c r="B28" s="307"/>
      <c r="C28" s="305" t="s">
        <v>169</v>
      </c>
      <c r="D28" s="735" t="s">
        <v>170</v>
      </c>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429"/>
      <c r="AT28" s="408">
        <v>1</v>
      </c>
      <c r="AU28" s="529" t="s">
        <v>105</v>
      </c>
      <c r="AV28" s="87" t="s">
        <v>373</v>
      </c>
      <c r="AW28" s="87">
        <f>F8</f>
        <v>0</v>
      </c>
      <c r="AX28" s="87"/>
      <c r="AY28" s="87">
        <f aca="true" t="shared" si="33" ref="AY28:CG28">H8</f>
        <v>0</v>
      </c>
      <c r="AZ28" s="87"/>
      <c r="BA28" s="87">
        <f t="shared" si="33"/>
        <v>0</v>
      </c>
      <c r="BB28" s="87"/>
      <c r="BC28" s="87">
        <f t="shared" si="33"/>
        <v>0</v>
      </c>
      <c r="BD28" s="87"/>
      <c r="BE28" s="87">
        <f t="shared" si="33"/>
        <v>0</v>
      </c>
      <c r="BF28" s="87"/>
      <c r="BG28" s="87">
        <f t="shared" si="33"/>
        <v>0</v>
      </c>
      <c r="BH28" s="87"/>
      <c r="BI28" s="87">
        <f t="shared" si="33"/>
        <v>0</v>
      </c>
      <c r="BJ28" s="87"/>
      <c r="BK28" s="87">
        <f t="shared" si="33"/>
        <v>0</v>
      </c>
      <c r="BL28" s="87"/>
      <c r="BM28" s="87">
        <f t="shared" si="33"/>
        <v>0</v>
      </c>
      <c r="BN28" s="87"/>
      <c r="BO28" s="87">
        <f t="shared" si="33"/>
        <v>0</v>
      </c>
      <c r="BP28" s="87"/>
      <c r="BQ28" s="87">
        <f t="shared" si="33"/>
        <v>0</v>
      </c>
      <c r="BR28" s="87"/>
      <c r="BS28" s="87">
        <f t="shared" si="33"/>
        <v>0</v>
      </c>
      <c r="BT28" s="87"/>
      <c r="BU28" s="87">
        <f t="shared" si="33"/>
        <v>0</v>
      </c>
      <c r="BV28" s="87"/>
      <c r="BW28" s="87">
        <f t="shared" si="33"/>
        <v>0</v>
      </c>
      <c r="BX28" s="87"/>
      <c r="BY28" s="87">
        <f t="shared" si="33"/>
        <v>0</v>
      </c>
      <c r="BZ28" s="87"/>
      <c r="CA28" s="87">
        <f t="shared" si="33"/>
        <v>0</v>
      </c>
      <c r="CB28" s="87"/>
      <c r="CC28" s="87">
        <f t="shared" si="33"/>
        <v>0</v>
      </c>
      <c r="CD28" s="87"/>
      <c r="CE28" s="87">
        <f t="shared" si="33"/>
        <v>0</v>
      </c>
      <c r="CF28" s="87"/>
      <c r="CG28" s="87">
        <f t="shared" si="33"/>
        <v>0</v>
      </c>
      <c r="CH28" s="272"/>
      <c r="CI28" s="312"/>
      <c r="CJ28" s="312"/>
    </row>
    <row r="29" spans="1:88" ht="34.5" customHeight="1">
      <c r="A29" s="307"/>
      <c r="B29" s="307"/>
      <c r="C29" s="305" t="s">
        <v>169</v>
      </c>
      <c r="D29" s="739" t="s">
        <v>131</v>
      </c>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39"/>
      <c r="AL29" s="739"/>
      <c r="AM29" s="739"/>
      <c r="AN29" s="739"/>
      <c r="AO29" s="739"/>
      <c r="AP29" s="739"/>
      <c r="AQ29" s="739"/>
      <c r="AR29" s="739"/>
      <c r="AS29" s="429"/>
      <c r="AT29" s="329">
        <v>18</v>
      </c>
      <c r="AU29" s="311" t="s">
        <v>311</v>
      </c>
      <c r="AV29" s="87" t="s">
        <v>373</v>
      </c>
      <c r="AW29" s="87">
        <f>SUM(F9:F13)</f>
        <v>0</v>
      </c>
      <c r="AX29" s="87"/>
      <c r="AY29" s="87">
        <f aca="true" t="shared" si="34" ref="AY29:CG29">SUM(H9:H13)</f>
        <v>0</v>
      </c>
      <c r="AZ29" s="87"/>
      <c r="BA29" s="87">
        <f t="shared" si="34"/>
        <v>0</v>
      </c>
      <c r="BB29" s="87"/>
      <c r="BC29" s="87">
        <f t="shared" si="34"/>
        <v>0</v>
      </c>
      <c r="BD29" s="87"/>
      <c r="BE29" s="87">
        <f t="shared" si="34"/>
        <v>0</v>
      </c>
      <c r="BF29" s="87"/>
      <c r="BG29" s="87">
        <f t="shared" si="34"/>
        <v>0</v>
      </c>
      <c r="BH29" s="87"/>
      <c r="BI29" s="87">
        <f t="shared" si="34"/>
        <v>0</v>
      </c>
      <c r="BJ29" s="87"/>
      <c r="BK29" s="87">
        <f t="shared" si="34"/>
        <v>0</v>
      </c>
      <c r="BL29" s="87"/>
      <c r="BM29" s="87">
        <f t="shared" si="34"/>
        <v>0</v>
      </c>
      <c r="BN29" s="87"/>
      <c r="BO29" s="87">
        <f t="shared" si="34"/>
        <v>0</v>
      </c>
      <c r="BP29" s="87"/>
      <c r="BQ29" s="87">
        <f t="shared" si="34"/>
        <v>0</v>
      </c>
      <c r="BR29" s="87"/>
      <c r="BS29" s="87">
        <f t="shared" si="34"/>
        <v>0</v>
      </c>
      <c r="BT29" s="87"/>
      <c r="BU29" s="87">
        <f t="shared" si="34"/>
        <v>0</v>
      </c>
      <c r="BV29" s="87"/>
      <c r="BW29" s="87">
        <f t="shared" si="34"/>
        <v>0</v>
      </c>
      <c r="BX29" s="87"/>
      <c r="BY29" s="87">
        <f t="shared" si="34"/>
        <v>0</v>
      </c>
      <c r="BZ29" s="87"/>
      <c r="CA29" s="87">
        <f t="shared" si="34"/>
        <v>0</v>
      </c>
      <c r="CB29" s="87"/>
      <c r="CC29" s="87">
        <f t="shared" si="34"/>
        <v>0</v>
      </c>
      <c r="CD29" s="87"/>
      <c r="CE29" s="87">
        <f t="shared" si="34"/>
        <v>0</v>
      </c>
      <c r="CF29" s="87"/>
      <c r="CG29" s="87">
        <f t="shared" si="34"/>
        <v>0</v>
      </c>
      <c r="CH29" s="272"/>
      <c r="CI29" s="312"/>
      <c r="CJ29" s="312"/>
    </row>
    <row r="30" spans="1:86" ht="13.5" customHeight="1">
      <c r="A30" s="307"/>
      <c r="B30" s="307"/>
      <c r="C30" s="305" t="s">
        <v>169</v>
      </c>
      <c r="D30" s="735" t="s">
        <v>632</v>
      </c>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429"/>
      <c r="AT30" s="314" t="s">
        <v>208</v>
      </c>
      <c r="AU30" s="311" t="s">
        <v>312</v>
      </c>
      <c r="AV30" s="87"/>
      <c r="AW30" s="87" t="str">
        <f>IF(OR(ISBLANK(F8),ISBLANK(F9),ISBLANK(F10),ISBLANK(F11),ISBLANK(F12),ISBLANK(F13)),"N/A",IF((AW28=AW29),"ok","&lt;&gt;"))</f>
        <v>N/A</v>
      </c>
      <c r="AX30" s="87"/>
      <c r="AY30" s="87" t="str">
        <f>IF(OR(ISBLANK(H8),ISBLANK(H9),ISBLANK(H10),ISBLANK(H11),ISBLANK(H12),ISBLANK(H13)),"N/A",IF((AY28=AY29),"ok","&lt;&gt;"))</f>
        <v>N/A</v>
      </c>
      <c r="AZ30" s="87"/>
      <c r="BA30" s="87" t="str">
        <f>IF(OR(ISBLANK(J8),ISBLANK(J9),ISBLANK(J10),ISBLANK(J11),ISBLANK(J12),ISBLANK(J13)),"N/A",IF((BA28=BA29),"ok","&lt;&gt;"))</f>
        <v>N/A</v>
      </c>
      <c r="BB30" s="87"/>
      <c r="BC30" s="87" t="str">
        <f>IF(OR(ISBLANK(L8),ISBLANK(L9),ISBLANK(L10),ISBLANK(L11),ISBLANK(L12),ISBLANK(L13)),"N/A",IF((BC28=BC29),"ok","&lt;&gt;"))</f>
        <v>N/A</v>
      </c>
      <c r="BD30" s="87"/>
      <c r="BE30" s="87" t="str">
        <f>IF(OR(ISBLANK(N8),ISBLANK(N9),ISBLANK(N10),ISBLANK(N11),ISBLANK(N12),ISBLANK(N13)),"N/A",IF((BE28=BE29),"ok","&lt;&gt;"))</f>
        <v>N/A</v>
      </c>
      <c r="BF30" s="87"/>
      <c r="BG30" s="87" t="str">
        <f>IF(OR(ISBLANK(P8),ISBLANK(P9),ISBLANK(P10),ISBLANK(P11),ISBLANK(P12),ISBLANK(P13)),"N/A",IF((BG28=BG29),"ok","&lt;&gt;"))</f>
        <v>N/A</v>
      </c>
      <c r="BH30" s="87"/>
      <c r="BI30" s="87" t="str">
        <f>IF(OR(ISBLANK(R8),ISBLANK(R9),ISBLANK(R10),ISBLANK(R11),ISBLANK(R12),ISBLANK(R13)),"N/A",IF((BI28=BI29),"ok","&lt;&gt;"))</f>
        <v>N/A</v>
      </c>
      <c r="BJ30" s="87"/>
      <c r="BK30" s="87" t="str">
        <f>IF(OR(ISBLANK(T8),ISBLANK(T9),ISBLANK(T10),ISBLANK(T11),ISBLANK(T12),ISBLANK(T13)),"N/A",IF((BK28=BK29),"ok","&lt;&gt;"))</f>
        <v>N/A</v>
      </c>
      <c r="BL30" s="87"/>
      <c r="BM30" s="123" t="str">
        <f>IF(OR(ISBLANK(V8),ISBLANK(V9),ISBLANK(V10),ISBLANK(V11),ISBLANK(V12),ISBLANK(V13)),"N/A",IF((BM28=BM29),"ok","&lt;&gt;"))</f>
        <v>N/A</v>
      </c>
      <c r="BN30" s="87"/>
      <c r="BO30" s="87" t="str">
        <f>IF(OR(ISBLANK(X8),ISBLANK(X9),ISBLANK(X10),ISBLANK(X11),ISBLANK(X12),ISBLANK(X13)),"N/A",IF((BO28=BO29),"ok","&lt;&gt;"))</f>
        <v>N/A</v>
      </c>
      <c r="BP30" s="87"/>
      <c r="BQ30" s="87" t="str">
        <f>IF(OR(ISBLANK(Z8),ISBLANK(Z9),ISBLANK(Z10),ISBLANK(Z11),ISBLANK(Z12),ISBLANK(Z13)),"N/A",IF((BQ28=BQ29),"ok","&lt;&gt;"))</f>
        <v>N/A</v>
      </c>
      <c r="BR30" s="87"/>
      <c r="BS30" s="87" t="str">
        <f>IF(OR(ISBLANK(AB8),ISBLANK(AB9),ISBLANK(AB10),ISBLANK(AB11),ISBLANK(AB12),ISBLANK(AB13)),"N/A",IF((BS28=BS29),"ok","&lt;&gt;"))</f>
        <v>N/A</v>
      </c>
      <c r="BT30" s="87"/>
      <c r="BU30" s="87" t="str">
        <f>IF(OR(ISBLANK(AD8),ISBLANK(AD9),ISBLANK(AD10),ISBLANK(AD11),ISBLANK(AD12),ISBLANK(AD13)),"N/A",IF((BU28=BU29),"ok","&lt;&gt;"))</f>
        <v>N/A</v>
      </c>
      <c r="BV30" s="87"/>
      <c r="BW30" s="87" t="str">
        <f>IF(OR(ISBLANK(AF8),ISBLANK(AF9),ISBLANK(AF10),ISBLANK(AF11),ISBLANK(AF12),ISBLANK(AF13)),"N/A",IF((BW28=BW29),"ok","&lt;&gt;"))</f>
        <v>N/A</v>
      </c>
      <c r="BX30" s="87"/>
      <c r="BY30" s="87" t="str">
        <f>IF(OR(ISBLANK(AH8),ISBLANK(AH9),ISBLANK(AH10),ISBLANK(AH11),ISBLANK(AH12),ISBLANK(AH13)),"N/A",IF((BY28=BY29),"ok","&lt;&gt;"))</f>
        <v>N/A</v>
      </c>
      <c r="BZ30" s="87"/>
      <c r="CA30" s="87" t="str">
        <f>IF(OR(ISBLANK(AJ8),ISBLANK(AJ9),ISBLANK(AJ10),ISBLANK(AJ11),ISBLANK(AJ12),ISBLANK(AJ13)),"N/A",IF((CA28=CA29),"ok","&lt;&gt;"))</f>
        <v>N/A</v>
      </c>
      <c r="CB30" s="87"/>
      <c r="CC30" s="87" t="str">
        <f>IF(OR(ISBLANK(AL8),ISBLANK(AL9),ISBLANK(AL10),ISBLANK(AL11),ISBLANK(AL12),ISBLANK(AL13)),"N/A",IF((CC28=CC29),"ok","&lt;&gt;"))</f>
        <v>N/A</v>
      </c>
      <c r="CD30" s="87"/>
      <c r="CE30" s="123" t="str">
        <f>IF(OR(ISBLANK(AN8),ISBLANK(AN9),ISBLANK(AN10),ISBLANK(AN11),ISBLANK(AN12),ISBLANK(AN13)),"N/A",IF((CE28=CE29),"ok","&lt;&gt;"))</f>
        <v>N/A</v>
      </c>
      <c r="CF30" s="87"/>
      <c r="CG30" s="87" t="str">
        <f>IF(OR(ISBLANK(AP8),ISBLANK(AP9),ISBLANK(AP10),ISBLANK(AP11),ISBLANK(AP12),ISBLANK(AP13)),"N/A",IF((CG28=CG29),"ok","&lt;&gt;"))</f>
        <v>N/A</v>
      </c>
      <c r="CH30" s="272"/>
    </row>
    <row r="31" spans="1:94" ht="31.5" customHeight="1">
      <c r="A31" s="307"/>
      <c r="B31" s="307"/>
      <c r="C31" s="305"/>
      <c r="D31" s="546" t="str">
        <f>D9&amp;" (W4,2)"</f>
        <v>by:
       Agriculture, forestry and fishing ISIC (01-03) (W4,2)</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17"/>
      <c r="AD31" s="547"/>
      <c r="AE31" s="547"/>
      <c r="AF31" s="547"/>
      <c r="AG31" s="843" t="str">
        <f>D14&amp;" (W4,7)"</f>
        <v>Wastewater treated in urban wastewater treatment plants (W4,7)</v>
      </c>
      <c r="AH31" s="844"/>
      <c r="AI31" s="844"/>
      <c r="AJ31" s="844"/>
      <c r="AK31" s="844"/>
      <c r="AL31" s="844"/>
      <c r="AM31" s="844"/>
      <c r="AN31" s="845"/>
      <c r="AO31" s="308"/>
      <c r="AP31" s="308"/>
      <c r="AQ31" s="308"/>
      <c r="AR31" s="308"/>
      <c r="AS31" s="429"/>
      <c r="AT31" s="329">
        <v>19</v>
      </c>
      <c r="AU31" s="311" t="s">
        <v>313</v>
      </c>
      <c r="AV31" s="87" t="s">
        <v>373</v>
      </c>
      <c r="AW31" s="87">
        <f>F14+F18+F22+F23</f>
        <v>0</v>
      </c>
      <c r="AX31" s="87"/>
      <c r="AY31" s="87">
        <f>H14+H18+H22+H23</f>
        <v>0</v>
      </c>
      <c r="AZ31" s="87"/>
      <c r="BA31" s="87">
        <f>J14+J18+J22+J23</f>
        <v>0</v>
      </c>
      <c r="BB31" s="87"/>
      <c r="BC31" s="87">
        <f>L14+L18+L22+L23</f>
        <v>0</v>
      </c>
      <c r="BD31" s="87"/>
      <c r="BE31" s="87">
        <f>N14+N18+N22+N23</f>
        <v>0</v>
      </c>
      <c r="BF31" s="87"/>
      <c r="BG31" s="87">
        <f>P14+P18+P22+P23</f>
        <v>0</v>
      </c>
      <c r="BH31" s="87"/>
      <c r="BI31" s="87">
        <f>R14+R18+R22+R23</f>
        <v>0</v>
      </c>
      <c r="BJ31" s="87"/>
      <c r="BK31" s="87">
        <f>T14+T18+T22+T23</f>
        <v>0</v>
      </c>
      <c r="BL31" s="87"/>
      <c r="BM31" s="123">
        <f>V14+V18+V22+V23</f>
        <v>0</v>
      </c>
      <c r="BN31" s="87"/>
      <c r="BO31" s="87">
        <f>X14+X18+X22+X23</f>
        <v>0</v>
      </c>
      <c r="BP31" s="87"/>
      <c r="BQ31" s="87">
        <f>Z14+Z18+Z22+Z23</f>
        <v>0</v>
      </c>
      <c r="BR31" s="87"/>
      <c r="BS31" s="87">
        <f>AB14+AB18+AB22+AB23</f>
        <v>0</v>
      </c>
      <c r="BT31" s="87"/>
      <c r="BU31" s="87">
        <f>AD14+AD18+AD22+AD23</f>
        <v>0</v>
      </c>
      <c r="BV31" s="123"/>
      <c r="BW31" s="123">
        <f>AF14+AF18+AF22+AF23</f>
        <v>0</v>
      </c>
      <c r="BX31" s="87"/>
      <c r="BY31" s="87">
        <f>AH14+AH18+AH22+AH23</f>
        <v>0</v>
      </c>
      <c r="BZ31" s="87"/>
      <c r="CA31" s="87">
        <f>AJ14+AJ18+AJ22+AJ23</f>
        <v>0</v>
      </c>
      <c r="CB31" s="123"/>
      <c r="CC31" s="123">
        <f>AL14+AL18+AL22+AL23</f>
        <v>0</v>
      </c>
      <c r="CD31" s="87"/>
      <c r="CE31" s="123">
        <f>AN14+AN18+AN22+AN23</f>
        <v>0</v>
      </c>
      <c r="CF31" s="87"/>
      <c r="CG31" s="87">
        <f>AP14+AP18+AP22+AP23</f>
        <v>0</v>
      </c>
      <c r="CH31" s="272"/>
      <c r="CI31" s="312"/>
      <c r="CJ31" s="312"/>
      <c r="CK31" s="312"/>
      <c r="CL31" s="312"/>
      <c r="CM31" s="312"/>
      <c r="CN31" s="312"/>
      <c r="CO31" s="312"/>
      <c r="CP31" s="312"/>
    </row>
    <row r="32" spans="1:94" ht="15.75" customHeight="1">
      <c r="A32" s="307"/>
      <c r="B32" s="307"/>
      <c r="C32" s="305"/>
      <c r="D32" s="548"/>
      <c r="E32" s="308"/>
      <c r="F32" s="308"/>
      <c r="G32" s="308"/>
      <c r="H32" s="308"/>
      <c r="I32" s="308"/>
      <c r="J32" s="308"/>
      <c r="K32" s="308"/>
      <c r="L32" s="308"/>
      <c r="M32" s="308"/>
      <c r="N32" s="308"/>
      <c r="O32" s="308"/>
      <c r="P32" s="308"/>
      <c r="Q32" s="308"/>
      <c r="R32" s="308"/>
      <c r="S32" s="549"/>
      <c r="T32" s="308"/>
      <c r="U32" s="308"/>
      <c r="V32" s="308"/>
      <c r="W32" s="308"/>
      <c r="X32" s="308"/>
      <c r="Y32" s="308"/>
      <c r="Z32" s="308"/>
      <c r="AA32" s="308"/>
      <c r="AB32" s="308"/>
      <c r="AC32" s="549"/>
      <c r="AD32" s="549"/>
      <c r="AE32" s="549"/>
      <c r="AF32" s="549"/>
      <c r="AG32" s="550"/>
      <c r="AH32" s="550"/>
      <c r="AI32" s="550"/>
      <c r="AJ32" s="550"/>
      <c r="AK32" s="548"/>
      <c r="AL32" s="548"/>
      <c r="AM32" s="548"/>
      <c r="AN32" s="548"/>
      <c r="AO32" s="308"/>
      <c r="AP32" s="308"/>
      <c r="AQ32" s="308"/>
      <c r="AR32" s="308"/>
      <c r="AS32" s="429"/>
      <c r="AT32" s="314"/>
      <c r="AU32" s="311"/>
      <c r="AV32" s="87"/>
      <c r="AW32" s="87"/>
      <c r="AX32" s="87"/>
      <c r="AY32" s="87"/>
      <c r="AZ32" s="87"/>
      <c r="BA32" s="87"/>
      <c r="BB32" s="87"/>
      <c r="BC32" s="87"/>
      <c r="BD32" s="87"/>
      <c r="BE32" s="87"/>
      <c r="BF32" s="87"/>
      <c r="BG32" s="87"/>
      <c r="BH32" s="87"/>
      <c r="BI32" s="87"/>
      <c r="BJ32" s="87"/>
      <c r="BK32" s="87"/>
      <c r="BL32" s="87"/>
      <c r="BM32" s="123"/>
      <c r="BN32" s="87"/>
      <c r="BO32" s="87"/>
      <c r="BP32" s="87"/>
      <c r="BQ32" s="87"/>
      <c r="BR32" s="87"/>
      <c r="BS32" s="87"/>
      <c r="BT32" s="87"/>
      <c r="BU32" s="87"/>
      <c r="BV32" s="123"/>
      <c r="BW32" s="87"/>
      <c r="BX32" s="123"/>
      <c r="BY32" s="123"/>
      <c r="BZ32" s="87"/>
      <c r="CA32" s="87"/>
      <c r="CB32" s="123"/>
      <c r="CC32" s="125"/>
      <c r="CD32" s="87"/>
      <c r="CE32" s="123"/>
      <c r="CF32" s="87"/>
      <c r="CG32" s="87"/>
      <c r="CH32" s="272"/>
      <c r="CI32" s="312"/>
      <c r="CJ32" s="312"/>
      <c r="CK32" s="312"/>
      <c r="CL32" s="312"/>
      <c r="CM32" s="312"/>
      <c r="CN32" s="312"/>
      <c r="CO32" s="312"/>
      <c r="CP32" s="312"/>
    </row>
    <row r="33" spans="1:94" ht="21" customHeight="1">
      <c r="A33" s="307"/>
      <c r="B33" s="307"/>
      <c r="C33" s="305"/>
      <c r="D33" s="546" t="str">
        <f>D10&amp;" (W4,3)"</f>
        <v>Manufacturing (ISIC 10-33) (W4,3)</v>
      </c>
      <c r="E33" s="308"/>
      <c r="F33" s="308"/>
      <c r="G33" s="308"/>
      <c r="H33" s="308"/>
      <c r="I33" s="308"/>
      <c r="J33" s="308"/>
      <c r="K33" s="308"/>
      <c r="L33" s="308"/>
      <c r="M33" s="308"/>
      <c r="N33" s="308"/>
      <c r="O33" s="308"/>
      <c r="P33" s="308"/>
      <c r="Q33" s="308"/>
      <c r="R33" s="549"/>
      <c r="S33" s="550"/>
      <c r="T33" s="846" t="str">
        <f>D8&amp;" (W4,1)"</f>
        <v>Total wastewater generated (W4,1)</v>
      </c>
      <c r="U33" s="819"/>
      <c r="V33" s="819"/>
      <c r="W33" s="819"/>
      <c r="X33" s="819"/>
      <c r="Y33" s="819"/>
      <c r="Z33" s="819"/>
      <c r="AA33" s="820"/>
      <c r="AB33" s="308"/>
      <c r="AC33" s="550"/>
      <c r="AD33" s="550"/>
      <c r="AE33" s="550"/>
      <c r="AF33" s="550"/>
      <c r="AG33" s="843" t="str">
        <f>D18&amp;" (W4,11)"</f>
        <v>Wastewater treated in other treatment plants (W4,11)</v>
      </c>
      <c r="AH33" s="844"/>
      <c r="AI33" s="844"/>
      <c r="AJ33" s="844"/>
      <c r="AK33" s="844"/>
      <c r="AL33" s="844"/>
      <c r="AM33" s="844"/>
      <c r="AN33" s="845"/>
      <c r="AO33" s="308"/>
      <c r="AP33" s="308"/>
      <c r="AQ33" s="308"/>
      <c r="AR33" s="308"/>
      <c r="AS33" s="429"/>
      <c r="AT33" s="314" t="s">
        <v>208</v>
      </c>
      <c r="AU33" s="551" t="s">
        <v>315</v>
      </c>
      <c r="AV33" s="87"/>
      <c r="AW33" s="87" t="str">
        <f>IF(OR(ISBLANK(F8),ISBLANK(F14),ISBLANK(F18),ISBLANK(F22),ISBLANK(F23)),"N/A",IF((AW28=AW31),"ok","&lt;&gt;"))</f>
        <v>N/A</v>
      </c>
      <c r="AX33" s="87"/>
      <c r="AY33" s="87" t="str">
        <f>IF(OR(ISBLANK(H8),ISBLANK(H14),ISBLANK(H18),ISBLANK(H22),ISBLANK(H23)),"N/A",IF((AY28=AY31),"ok","&lt;&gt;"))</f>
        <v>N/A</v>
      </c>
      <c r="AZ33" s="123"/>
      <c r="BA33" s="87" t="str">
        <f>IF(OR(ISBLANK(J8),ISBLANK(J14),ISBLANK(J18),ISBLANK(J22),ISBLANK(J23)),"N/A",IF((BA28=BA31),"ok","&lt;&gt;"))</f>
        <v>N/A</v>
      </c>
      <c r="BB33" s="87"/>
      <c r="BC33" s="124" t="str">
        <f>IF(OR(ISBLANK(L8),ISBLANK(L14),ISBLANK(L18),ISBLANK(L22),ISBLANK(L23)),"N/A",IF((BC28=BC31),"ok","&lt;&gt;"))</f>
        <v>N/A</v>
      </c>
      <c r="BD33" s="87"/>
      <c r="BE33" s="123" t="str">
        <f>IF(OR(ISBLANK(N8),ISBLANK(N14),ISBLANK(N18),ISBLANK(N22),ISBLANK(N23)),"N/A",IF((BE28=BE31),"ok","&lt;&gt;"))</f>
        <v>N/A</v>
      </c>
      <c r="BF33" s="87"/>
      <c r="BG33" s="124" t="str">
        <f>IF(OR(ISBLANK(P8),ISBLANK(P14),ISBLANK(P18),ISBLANK(P22),ISBLANK(P23)),"N/A",IF((BG28=BG31),"ok","&lt;&gt;"))</f>
        <v>N/A</v>
      </c>
      <c r="BH33" s="87"/>
      <c r="BI33" s="123" t="str">
        <f>IF(OR(ISBLANK(R8),ISBLANK(R14),ISBLANK(R18),ISBLANK(R22),ISBLANK(R23)),"N/A",IF((BI28=BI31),"ok","&lt;&gt;"))</f>
        <v>N/A</v>
      </c>
      <c r="BJ33" s="87"/>
      <c r="BK33" s="123" t="str">
        <f>IF(OR(ISBLANK(T8),ISBLANK(T14),ISBLANK(T18),ISBLANK(T22),ISBLANK(T23)),"N/A",IF((BK28=BK31),"ok","&lt;&gt;"))</f>
        <v>N/A</v>
      </c>
      <c r="BL33" s="87"/>
      <c r="BM33" s="123" t="str">
        <f>IF(OR(ISBLANK(V8),ISBLANK(V14),ISBLANK(V18),ISBLANK(V22),ISBLANK(V23)),"N/A",IF((BM28=BM31),"ok","&lt;&gt;"))</f>
        <v>N/A</v>
      </c>
      <c r="BN33" s="87"/>
      <c r="BO33" s="124" t="str">
        <f>IF(OR(ISBLANK(X8),ISBLANK(X14),ISBLANK(X18),ISBLANK(X22),ISBLANK(X23)),"N/A",IF((BO28=BO31),"ok","&lt;&gt;"))</f>
        <v>N/A</v>
      </c>
      <c r="BP33" s="87"/>
      <c r="BQ33" s="87" t="str">
        <f>IF(OR(ISBLANK(Z8),ISBLANK(Z14),ISBLANK(Z18),ISBLANK(Z22),ISBLANK(Z23)),"N/A",IF((BQ28=BQ31),"ok","&lt;&gt;"))</f>
        <v>N/A</v>
      </c>
      <c r="BR33" s="123"/>
      <c r="BS33" s="87" t="str">
        <f>IF(OR(ISBLANK(AB8),ISBLANK(AB14),ISBLANK(AB18),ISBLANK(AB22),ISBLANK(AB23)),"N/A",IF((BS28=BS31),"ok","&lt;&gt;"))</f>
        <v>N/A</v>
      </c>
      <c r="BT33" s="87"/>
      <c r="BU33" s="87" t="str">
        <f>IF(OR(ISBLANK(AD8),ISBLANK(AD14),ISBLANK(AD18),ISBLANK(AD22),ISBLANK(AD23)),"N/A",IF((BU28=BU31),"ok","&lt;&gt;"))</f>
        <v>N/A</v>
      </c>
      <c r="BV33" s="123"/>
      <c r="BW33" s="87" t="str">
        <f>IF(OR(ISBLANK(AF8),ISBLANK(AF14),ISBLANK(AF18),ISBLANK(AF22),ISBLANK(AF23)),"N/A",IF((BW28=BW31),"ok","&lt;&gt;"))</f>
        <v>N/A</v>
      </c>
      <c r="BX33" s="123"/>
      <c r="BY33" s="125" t="str">
        <f>IF(OR(ISBLANK(AH8),ISBLANK(AH14),ISBLANK(AH18),ISBLANK(AH22),ISBLANK(AH23)),"N/A",IF((BY28=BY31),"ok","&lt;&gt;"))</f>
        <v>N/A</v>
      </c>
      <c r="BZ33" s="87"/>
      <c r="CA33" s="87" t="str">
        <f>IF(OR(ISBLANK(AJ8),ISBLANK(AJ14),ISBLANK(AJ18),ISBLANK(AJ22),ISBLANK(AJ23)),"N/A",IF((CA28=CA31),"ok","&lt;&gt;"))</f>
        <v>N/A</v>
      </c>
      <c r="CB33" s="123"/>
      <c r="CC33" s="125" t="str">
        <f>IF(OR(ISBLANK(AL8),ISBLANK(AL14),ISBLANK(AL18),ISBLANK(AL22),ISBLANK(AL23)),"N/A",IF((CC28=CC31),"ok","&lt;&gt;"))</f>
        <v>N/A</v>
      </c>
      <c r="CD33" s="87"/>
      <c r="CE33" s="87" t="str">
        <f>IF(OR(ISBLANK(AN8),ISBLANK(AN14),ISBLANK(AN18),ISBLANK(AN22),ISBLANK(AN23)),"N/A",IF((CE28=CE31),"ok","&lt;&gt;"))</f>
        <v>N/A</v>
      </c>
      <c r="CF33" s="123"/>
      <c r="CG33" s="87" t="str">
        <f>IF(OR(ISBLANK(AP8),ISBLANK(AP14),ISBLANK(AP18),ISBLANK(AP22),ISBLANK(AP23)),"N/A",IF((CG28=CG31),"ok","&lt;&gt;"))</f>
        <v>N/A</v>
      </c>
      <c r="CH33" s="272"/>
      <c r="CI33" s="312"/>
      <c r="CJ33" s="312"/>
      <c r="CK33" s="312"/>
      <c r="CL33" s="312"/>
      <c r="CM33" s="312"/>
      <c r="CN33" s="312"/>
      <c r="CO33" s="312"/>
      <c r="CP33" s="312"/>
    </row>
    <row r="34" spans="1:94" ht="9" customHeight="1">
      <c r="A34" s="307"/>
      <c r="B34" s="307"/>
      <c r="C34" s="305"/>
      <c r="D34" s="548"/>
      <c r="E34" s="308"/>
      <c r="F34" s="308"/>
      <c r="G34" s="308"/>
      <c r="H34" s="308"/>
      <c r="I34" s="308"/>
      <c r="J34" s="308"/>
      <c r="K34" s="308"/>
      <c r="L34" s="308"/>
      <c r="M34" s="308"/>
      <c r="N34" s="308"/>
      <c r="O34" s="308"/>
      <c r="P34" s="308"/>
      <c r="Q34" s="308"/>
      <c r="R34" s="549"/>
      <c r="S34" s="550"/>
      <c r="T34" s="847"/>
      <c r="U34" s="848"/>
      <c r="V34" s="848"/>
      <c r="W34" s="848"/>
      <c r="X34" s="848"/>
      <c r="Y34" s="848"/>
      <c r="Z34" s="848"/>
      <c r="AA34" s="849"/>
      <c r="AB34" s="308"/>
      <c r="AC34" s="549"/>
      <c r="AD34" s="549"/>
      <c r="AE34" s="549"/>
      <c r="AF34" s="549"/>
      <c r="AG34" s="550"/>
      <c r="AH34" s="550"/>
      <c r="AI34" s="550"/>
      <c r="AJ34" s="550"/>
      <c r="AK34" s="548"/>
      <c r="AL34" s="548"/>
      <c r="AM34" s="548"/>
      <c r="AN34" s="548"/>
      <c r="AO34" s="308"/>
      <c r="AP34" s="308"/>
      <c r="AQ34" s="308"/>
      <c r="AR34" s="308"/>
      <c r="AS34" s="429"/>
      <c r="AT34" s="552"/>
      <c r="AU34" s="553"/>
      <c r="AV34" s="554"/>
      <c r="AW34" s="125"/>
      <c r="AX34" s="87"/>
      <c r="AY34" s="555"/>
      <c r="AZ34" s="555"/>
      <c r="BA34" s="284"/>
      <c r="BB34" s="555"/>
      <c r="BC34" s="556"/>
      <c r="BD34" s="284"/>
      <c r="BE34" s="556"/>
      <c r="BF34" s="284"/>
      <c r="BG34" s="556"/>
      <c r="BH34" s="284"/>
      <c r="BI34" s="284"/>
      <c r="BJ34" s="555"/>
      <c r="BK34" s="87"/>
      <c r="BL34" s="555"/>
      <c r="BM34" s="556"/>
      <c r="BN34" s="557"/>
      <c r="BO34" s="87"/>
      <c r="BP34" s="284"/>
      <c r="BQ34" s="284"/>
      <c r="BR34" s="555"/>
      <c r="BS34" s="284"/>
      <c r="BT34" s="284"/>
      <c r="BU34" s="284"/>
      <c r="BV34" s="555"/>
      <c r="BW34" s="284"/>
      <c r="BX34" s="555"/>
      <c r="BY34" s="556"/>
      <c r="BZ34" s="284"/>
      <c r="CA34" s="284"/>
      <c r="CB34" s="555"/>
      <c r="CC34" s="556"/>
      <c r="CD34" s="284"/>
      <c r="CE34" s="284"/>
      <c r="CF34" s="555"/>
      <c r="CG34" s="104"/>
      <c r="CH34" s="284"/>
      <c r="CI34" s="312"/>
      <c r="CJ34" s="312"/>
      <c r="CK34" s="312"/>
      <c r="CL34" s="312"/>
      <c r="CM34" s="312"/>
      <c r="CN34" s="312"/>
      <c r="CO34" s="312"/>
      <c r="CP34" s="312"/>
    </row>
    <row r="35" spans="1:94" ht="20.25" customHeight="1">
      <c r="A35" s="307"/>
      <c r="B35" s="307"/>
      <c r="C35" s="305"/>
      <c r="D35" s="546" t="str">
        <f>D11&amp;" (W4,4)"</f>
        <v>Electricity industry (ISIC 351) (W4,4)</v>
      </c>
      <c r="E35" s="308"/>
      <c r="F35" s="308"/>
      <c r="G35" s="308"/>
      <c r="H35" s="308"/>
      <c r="I35" s="308"/>
      <c r="J35" s="308"/>
      <c r="K35" s="308"/>
      <c r="L35" s="308"/>
      <c r="M35" s="308"/>
      <c r="N35" s="308"/>
      <c r="O35" s="308"/>
      <c r="P35" s="308"/>
      <c r="Q35" s="308"/>
      <c r="R35" s="549"/>
      <c r="S35" s="550"/>
      <c r="T35" s="847"/>
      <c r="U35" s="848"/>
      <c r="V35" s="848"/>
      <c r="W35" s="848"/>
      <c r="X35" s="848"/>
      <c r="Y35" s="848"/>
      <c r="Z35" s="848"/>
      <c r="AA35" s="849"/>
      <c r="AB35" s="308"/>
      <c r="AC35" s="322"/>
      <c r="AD35" s="453"/>
      <c r="AE35" s="453"/>
      <c r="AF35" s="453"/>
      <c r="AG35" s="843" t="str">
        <f>D22&amp;" (W4,15)"</f>
        <v>Wastewater treated in independent treatment facilities (W4,15)</v>
      </c>
      <c r="AH35" s="844"/>
      <c r="AI35" s="844"/>
      <c r="AJ35" s="844"/>
      <c r="AK35" s="844"/>
      <c r="AL35" s="844"/>
      <c r="AM35" s="844"/>
      <c r="AN35" s="845"/>
      <c r="AO35" s="308"/>
      <c r="AP35" s="308"/>
      <c r="AQ35" s="308"/>
      <c r="AR35" s="308"/>
      <c r="AS35" s="429"/>
      <c r="AT35" s="87">
        <v>7</v>
      </c>
      <c r="AU35" s="271" t="s">
        <v>144</v>
      </c>
      <c r="AV35" s="87" t="s">
        <v>373</v>
      </c>
      <c r="AW35" s="125">
        <f>F14</f>
        <v>0</v>
      </c>
      <c r="AX35" s="87"/>
      <c r="AY35" s="87">
        <f aca="true" t="shared" si="35" ref="AY35:CH35">H14</f>
        <v>0</v>
      </c>
      <c r="AZ35" s="123"/>
      <c r="BA35" s="87">
        <f t="shared" si="35"/>
        <v>0</v>
      </c>
      <c r="BB35" s="123"/>
      <c r="BC35" s="125">
        <f t="shared" si="35"/>
        <v>0</v>
      </c>
      <c r="BD35" s="87"/>
      <c r="BE35" s="125">
        <f t="shared" si="35"/>
        <v>0</v>
      </c>
      <c r="BF35" s="87"/>
      <c r="BG35" s="125">
        <f t="shared" si="35"/>
        <v>0</v>
      </c>
      <c r="BH35" s="87"/>
      <c r="BI35" s="87">
        <f t="shared" si="35"/>
        <v>0</v>
      </c>
      <c r="BJ35" s="123"/>
      <c r="BK35" s="123">
        <f t="shared" si="35"/>
        <v>0</v>
      </c>
      <c r="BL35" s="87"/>
      <c r="BM35" s="125">
        <f t="shared" si="35"/>
        <v>0</v>
      </c>
      <c r="BN35" s="87"/>
      <c r="BO35" s="124">
        <f t="shared" si="35"/>
        <v>0</v>
      </c>
      <c r="BP35" s="87"/>
      <c r="BQ35" s="87">
        <f t="shared" si="35"/>
        <v>0</v>
      </c>
      <c r="BR35" s="123"/>
      <c r="BS35" s="87">
        <f t="shared" si="35"/>
        <v>0</v>
      </c>
      <c r="BT35" s="87"/>
      <c r="BU35" s="87">
        <f t="shared" si="35"/>
        <v>0</v>
      </c>
      <c r="BV35" s="123"/>
      <c r="BW35" s="87">
        <f t="shared" si="35"/>
        <v>0</v>
      </c>
      <c r="BX35" s="123"/>
      <c r="BY35" s="125">
        <f t="shared" si="35"/>
        <v>0</v>
      </c>
      <c r="BZ35" s="87"/>
      <c r="CA35" s="87">
        <f t="shared" si="35"/>
        <v>0</v>
      </c>
      <c r="CB35" s="123"/>
      <c r="CC35" s="125">
        <f t="shared" si="35"/>
        <v>0</v>
      </c>
      <c r="CD35" s="87"/>
      <c r="CE35" s="87">
        <f t="shared" si="35"/>
        <v>0</v>
      </c>
      <c r="CF35" s="123"/>
      <c r="CG35" s="125">
        <f t="shared" si="35"/>
        <v>0</v>
      </c>
      <c r="CH35" s="87">
        <f t="shared" si="35"/>
        <v>0</v>
      </c>
      <c r="CI35" s="312"/>
      <c r="CJ35" s="312"/>
      <c r="CK35" s="312"/>
      <c r="CL35" s="312"/>
      <c r="CM35" s="312"/>
      <c r="CN35" s="312"/>
      <c r="CO35" s="312"/>
      <c r="CP35" s="312"/>
    </row>
    <row r="36" spans="1:94" ht="11.25" customHeight="1">
      <c r="A36" s="307"/>
      <c r="B36" s="307"/>
      <c r="C36" s="305"/>
      <c r="D36" s="317"/>
      <c r="E36" s="308"/>
      <c r="F36" s="308"/>
      <c r="G36" s="308"/>
      <c r="H36" s="308"/>
      <c r="I36" s="308"/>
      <c r="J36" s="308"/>
      <c r="K36" s="308"/>
      <c r="L36" s="308"/>
      <c r="M36" s="308"/>
      <c r="N36" s="308"/>
      <c r="O36" s="308"/>
      <c r="P36" s="308"/>
      <c r="Q36" s="308"/>
      <c r="R36" s="549"/>
      <c r="S36" s="632"/>
      <c r="T36" s="821"/>
      <c r="U36" s="822"/>
      <c r="V36" s="822"/>
      <c r="W36" s="822"/>
      <c r="X36" s="822"/>
      <c r="Y36" s="822"/>
      <c r="Z36" s="822"/>
      <c r="AA36" s="823"/>
      <c r="AB36" s="308"/>
      <c r="AC36" s="372"/>
      <c r="AD36" s="549"/>
      <c r="AE36" s="549"/>
      <c r="AF36" s="549"/>
      <c r="AG36" s="550"/>
      <c r="AH36" s="550"/>
      <c r="AI36" s="550"/>
      <c r="AJ36" s="550"/>
      <c r="AK36" s="548"/>
      <c r="AL36" s="548"/>
      <c r="AM36" s="548"/>
      <c r="AN36" s="548"/>
      <c r="AO36" s="308"/>
      <c r="AP36" s="308"/>
      <c r="AQ36" s="308"/>
      <c r="AR36" s="308"/>
      <c r="AS36" s="558"/>
      <c r="AT36" s="559"/>
      <c r="AU36" s="554"/>
      <c r="AV36" s="560"/>
      <c r="AW36" s="125"/>
      <c r="AX36" s="87"/>
      <c r="AY36" s="294"/>
      <c r="AZ36" s="284"/>
      <c r="BA36" s="104"/>
      <c r="BB36" s="561"/>
      <c r="BC36" s="104"/>
      <c r="BD36" s="294"/>
      <c r="BE36" s="104"/>
      <c r="BF36" s="284"/>
      <c r="BG36" s="104"/>
      <c r="BH36" s="294"/>
      <c r="BI36" s="294"/>
      <c r="BJ36" s="561"/>
      <c r="BK36" s="104"/>
      <c r="BL36" s="561"/>
      <c r="BM36" s="104"/>
      <c r="BN36" s="562"/>
      <c r="BO36" s="104"/>
      <c r="BP36" s="294"/>
      <c r="BQ36" s="294"/>
      <c r="BR36" s="561"/>
      <c r="BS36" s="294"/>
      <c r="BT36" s="294"/>
      <c r="BU36" s="294"/>
      <c r="BV36" s="561"/>
      <c r="BW36" s="294"/>
      <c r="BX36" s="561"/>
      <c r="BY36" s="104"/>
      <c r="BZ36" s="294"/>
      <c r="CA36" s="294"/>
      <c r="CB36" s="561"/>
      <c r="CC36" s="104"/>
      <c r="CD36" s="294"/>
      <c r="CE36" s="294"/>
      <c r="CF36" s="561"/>
      <c r="CG36" s="104"/>
      <c r="CH36" s="294"/>
      <c r="CI36" s="312"/>
      <c r="CJ36" s="312"/>
      <c r="CK36" s="312"/>
      <c r="CL36" s="312"/>
      <c r="CM36" s="312"/>
      <c r="CN36" s="312"/>
      <c r="CO36" s="312"/>
      <c r="CP36" s="312"/>
    </row>
    <row r="37" spans="1:94" ht="12.75" customHeight="1">
      <c r="A37" s="307"/>
      <c r="B37" s="307"/>
      <c r="C37" s="305"/>
      <c r="D37" s="546" t="str">
        <f>D12&amp;" (W4,5)"</f>
        <v>Other economic activities (W4,5)</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563"/>
      <c r="AD37" s="453"/>
      <c r="AE37" s="453"/>
      <c r="AF37" s="453"/>
      <c r="AG37" s="843" t="str">
        <f>D23&amp;" (W4,16)"</f>
        <v>Non-treated wastewater (W4,16)</v>
      </c>
      <c r="AH37" s="844"/>
      <c r="AI37" s="844"/>
      <c r="AJ37" s="844"/>
      <c r="AK37" s="844"/>
      <c r="AL37" s="844"/>
      <c r="AM37" s="844"/>
      <c r="AN37" s="845"/>
      <c r="AO37" s="308"/>
      <c r="AP37" s="308"/>
      <c r="AQ37" s="308"/>
      <c r="AR37" s="308"/>
      <c r="AS37" s="558"/>
      <c r="AT37" s="329">
        <v>20</v>
      </c>
      <c r="AU37" s="564" t="s">
        <v>316</v>
      </c>
      <c r="AV37" s="123" t="s">
        <v>373</v>
      </c>
      <c r="AW37" s="125">
        <f>SUM(F15:F17)</f>
        <v>0</v>
      </c>
      <c r="AX37" s="87"/>
      <c r="AY37" s="87">
        <f aca="true" t="shared" si="36" ref="AY37:CH37">SUM(H15:H17)</f>
        <v>0</v>
      </c>
      <c r="AZ37" s="87"/>
      <c r="BA37" s="123">
        <f t="shared" si="36"/>
        <v>0</v>
      </c>
      <c r="BB37" s="87"/>
      <c r="BC37" s="125">
        <f t="shared" si="36"/>
        <v>0</v>
      </c>
      <c r="BD37" s="87"/>
      <c r="BE37" s="125">
        <f t="shared" si="36"/>
        <v>0</v>
      </c>
      <c r="BF37" s="87"/>
      <c r="BG37" s="125">
        <f t="shared" si="36"/>
        <v>0</v>
      </c>
      <c r="BH37" s="87"/>
      <c r="BI37" s="87">
        <f t="shared" si="36"/>
        <v>0</v>
      </c>
      <c r="BJ37" s="123"/>
      <c r="BK37" s="123">
        <f t="shared" si="36"/>
        <v>0</v>
      </c>
      <c r="BL37" s="87"/>
      <c r="BM37" s="125">
        <f t="shared" si="36"/>
        <v>0</v>
      </c>
      <c r="BN37" s="87"/>
      <c r="BO37" s="124">
        <f t="shared" si="36"/>
        <v>0</v>
      </c>
      <c r="BP37" s="87"/>
      <c r="BQ37" s="87">
        <f t="shared" si="36"/>
        <v>0</v>
      </c>
      <c r="BR37" s="123"/>
      <c r="BS37" s="87">
        <f t="shared" si="36"/>
        <v>0</v>
      </c>
      <c r="BT37" s="87"/>
      <c r="BU37" s="87">
        <f t="shared" si="36"/>
        <v>0</v>
      </c>
      <c r="BV37" s="123"/>
      <c r="BW37" s="87">
        <f t="shared" si="36"/>
        <v>0</v>
      </c>
      <c r="BX37" s="123"/>
      <c r="BY37" s="125">
        <f t="shared" si="36"/>
        <v>0</v>
      </c>
      <c r="BZ37" s="87"/>
      <c r="CA37" s="87">
        <f t="shared" si="36"/>
        <v>0</v>
      </c>
      <c r="CB37" s="123"/>
      <c r="CC37" s="125">
        <f t="shared" si="36"/>
        <v>0</v>
      </c>
      <c r="CD37" s="87"/>
      <c r="CE37" s="87">
        <f t="shared" si="36"/>
        <v>0</v>
      </c>
      <c r="CF37" s="123"/>
      <c r="CG37" s="125">
        <f t="shared" si="36"/>
        <v>0</v>
      </c>
      <c r="CH37" s="87">
        <f t="shared" si="36"/>
        <v>0</v>
      </c>
      <c r="CI37" s="312"/>
      <c r="CJ37" s="312"/>
      <c r="CK37" s="312"/>
      <c r="CL37" s="312"/>
      <c r="CM37" s="312"/>
      <c r="CN37" s="312"/>
      <c r="CO37" s="312"/>
      <c r="CP37" s="312"/>
    </row>
    <row r="38" spans="1:94" ht="8.25" customHeight="1">
      <c r="A38" s="307"/>
      <c r="B38" s="307"/>
      <c r="C38" s="305"/>
      <c r="D38" s="565"/>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558"/>
      <c r="AT38" s="566"/>
      <c r="AU38" s="553"/>
      <c r="AV38" s="554"/>
      <c r="AW38" s="123"/>
      <c r="AX38" s="87"/>
      <c r="AY38" s="104"/>
      <c r="AZ38" s="284"/>
      <c r="BA38" s="104"/>
      <c r="BB38" s="284"/>
      <c r="BC38" s="104"/>
      <c r="BD38" s="294"/>
      <c r="BE38" s="104"/>
      <c r="BF38" s="284"/>
      <c r="BG38" s="104"/>
      <c r="BH38" s="294"/>
      <c r="BI38" s="294"/>
      <c r="BJ38" s="561"/>
      <c r="BK38" s="104"/>
      <c r="BL38" s="561"/>
      <c r="BM38" s="104"/>
      <c r="BN38" s="562"/>
      <c r="BO38" s="104"/>
      <c r="BP38" s="284"/>
      <c r="BQ38" s="284"/>
      <c r="BR38" s="561"/>
      <c r="BS38" s="294"/>
      <c r="BT38" s="294"/>
      <c r="BU38" s="294"/>
      <c r="BV38" s="561"/>
      <c r="BW38" s="294"/>
      <c r="BX38" s="561"/>
      <c r="BY38" s="104"/>
      <c r="BZ38" s="294"/>
      <c r="CA38" s="294"/>
      <c r="CB38" s="561"/>
      <c r="CC38" s="104"/>
      <c r="CD38" s="294"/>
      <c r="CE38" s="294"/>
      <c r="CF38" s="561"/>
      <c r="CG38" s="104"/>
      <c r="CH38" s="294"/>
      <c r="CI38" s="312"/>
      <c r="CJ38" s="312"/>
      <c r="CK38" s="312"/>
      <c r="CL38" s="312"/>
      <c r="CM38" s="312"/>
      <c r="CN38" s="312"/>
      <c r="CO38" s="312"/>
      <c r="CP38" s="312"/>
    </row>
    <row r="39" spans="3:94" ht="11.25" customHeight="1">
      <c r="C39" s="432"/>
      <c r="D39" s="546" t="str">
        <f>D13&amp;" (W4,6)"</f>
        <v>Households (W4,6)</v>
      </c>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513"/>
      <c r="AP39" s="513"/>
      <c r="AQ39" s="513"/>
      <c r="AR39" s="513"/>
      <c r="AT39" s="314" t="s">
        <v>208</v>
      </c>
      <c r="AU39" s="311" t="s">
        <v>317</v>
      </c>
      <c r="AV39" s="87"/>
      <c r="AW39" s="123" t="str">
        <f>IF(OR(ISBLANK(F14),ISBLANK(F15),ISBLANK(F16),ISBLANK(F17)),"N/A",IF((AW35=AW37),"ok","&lt;&gt;"))</f>
        <v>N/A</v>
      </c>
      <c r="AX39" s="123"/>
      <c r="AY39" s="125" t="str">
        <f>IF(OR(ISBLANK(H14),ISBLANK(H15),ISBLANK(H16),ISBLANK(H17)),"N/A",IF((AY35=AY37),"ok","&lt;&gt;"))</f>
        <v>N/A</v>
      </c>
      <c r="AZ39" s="87"/>
      <c r="BA39" s="125" t="str">
        <f>IF(OR(ISBLANK(J14),ISBLANK(J15),ISBLANK(J16),ISBLANK(J17)),"N/A",IF((BA35=BA37),"ok","&lt;&gt;"))</f>
        <v>N/A</v>
      </c>
      <c r="BB39" s="87"/>
      <c r="BC39" s="125" t="str">
        <f>IF(OR(ISBLANK(L14),ISBLANK(L15),ISBLANK(L16),ISBLANK(L17)),"N/A",IF((BC35=BC37),"ok","&lt;&gt;"))</f>
        <v>N/A</v>
      </c>
      <c r="BD39" s="87"/>
      <c r="BE39" s="125" t="str">
        <f>IF(OR(ISBLANK(N14),ISBLANK(N15),ISBLANK(N16),ISBLANK(N17)),"N/A",IF((BE35=BE37),"ok","&lt;&gt;"))</f>
        <v>N/A</v>
      </c>
      <c r="BF39" s="87"/>
      <c r="BG39" s="125" t="str">
        <f>IF(OR(ISBLANK(P14),ISBLANK(P15),ISBLANK(P16),ISBLANK(P17)),"N/A",IF((BG35=BG37),"ok","&lt;&gt;"))</f>
        <v>N/A</v>
      </c>
      <c r="BH39" s="87"/>
      <c r="BI39" s="87" t="str">
        <f>IF(OR(ISBLANK(R14),ISBLANK(R15),ISBLANK(R16),ISBLANK(R17)),"N/A",IF((BI35=BI37),"ok","&lt;&gt;"))</f>
        <v>N/A</v>
      </c>
      <c r="BJ39" s="123"/>
      <c r="BK39" s="123" t="str">
        <f>IF(OR(ISBLANK(T14),ISBLANK(T15),ISBLANK(T16),ISBLANK(T17)),"N/A",IF((BK35=BK37),"ok","&lt;&gt;"))</f>
        <v>N/A</v>
      </c>
      <c r="BL39" s="123"/>
      <c r="BM39" s="125" t="str">
        <f>IF(OR(ISBLANK(V14),ISBLANK(V15),ISBLANK(V16),ISBLANK(V17)),"N/A",IF((BM35=BM37),"ok","&lt;&gt;"))</f>
        <v>N/A</v>
      </c>
      <c r="BN39" s="87"/>
      <c r="BO39" s="125" t="str">
        <f>IF(OR(ISBLANK(X14),ISBLANK(X15),ISBLANK(X16),ISBLANK(X17)),"N/A",IF((BO35=BO37),"ok","&lt;&gt;"))</f>
        <v>N/A</v>
      </c>
      <c r="BP39" s="87"/>
      <c r="BQ39" s="87" t="str">
        <f>IF(OR(ISBLANK(Z14),ISBLANK(Z15),ISBLANK(Z16),ISBLANK(Z17)),"N/A",IF((BQ35=BQ37),"ok","&lt;&gt;"))</f>
        <v>N/A</v>
      </c>
      <c r="BR39" s="123"/>
      <c r="BS39" s="87" t="str">
        <f>IF(OR(ISBLANK(AB14),ISBLANK(AB15),ISBLANK(AB16),ISBLANK(AB17)),"N/A",IF((BS35=BS37),"ok","&lt;&gt;"))</f>
        <v>N/A</v>
      </c>
      <c r="BT39" s="87"/>
      <c r="BU39" s="87" t="str">
        <f>IF(OR(ISBLANK(AD14),ISBLANK(AD15),ISBLANK(AD16),ISBLANK(AD17)),"N/A",IF((BU35=BU37),"ok","&lt;&gt;"))</f>
        <v>N/A</v>
      </c>
      <c r="BV39" s="123"/>
      <c r="BW39" s="87" t="str">
        <f>IF(OR(ISBLANK(AF14),ISBLANK(AF15),ISBLANK(AF16),ISBLANK(AF17)),"N/A",IF((BW35=BW37),"ok","&lt;&gt;"))</f>
        <v>N/A</v>
      </c>
      <c r="BX39" s="123"/>
      <c r="BY39" s="125" t="str">
        <f>IF(OR(ISBLANK(AH14),ISBLANK(AH15),ISBLANK(AH16),ISBLANK(AH17)),"N/A",IF((BY35=BY37),"ok","&lt;&gt;"))</f>
        <v>N/A</v>
      </c>
      <c r="BZ39" s="87"/>
      <c r="CA39" s="87" t="str">
        <f>IF(OR(ISBLANK(AJ14),ISBLANK(AJ15),ISBLANK(AJ16),ISBLANK(AJ17)),"N/A",IF((CA35=CA37),"ok","&lt;&gt;"))</f>
        <v>N/A</v>
      </c>
      <c r="CB39" s="123"/>
      <c r="CC39" s="125" t="str">
        <f>IF(OR(ISBLANK(AL14),ISBLANK(AL15),ISBLANK(AL16),ISBLANK(AL17)),"N/A",IF((CC35=CC37),"ok","&lt;&gt;"))</f>
        <v>N/A</v>
      </c>
      <c r="CD39" s="87"/>
      <c r="CE39" s="87" t="str">
        <f>IF(OR(ISBLANK(AN14),ISBLANK(AN15),ISBLANK(AN16),ISBLANK(AN17)),"N/A",IF((CE35=CE37),"ok","&lt;&gt;"))</f>
        <v>N/A</v>
      </c>
      <c r="CF39" s="123"/>
      <c r="CG39" s="125" t="str">
        <f>IF(OR(ISBLANK(AP14),ISBLANK(AP15),ISBLANK(AP16),ISBLANK(AP17)),"N/A",IF((CG35=CG37),"ok","&lt;&gt;"))</f>
        <v>N/A</v>
      </c>
      <c r="CH39" s="87"/>
      <c r="CI39" s="312"/>
      <c r="CJ39" s="312"/>
      <c r="CK39" s="312"/>
      <c r="CL39" s="312"/>
      <c r="CM39" s="312"/>
      <c r="CN39" s="312"/>
      <c r="CO39" s="312"/>
      <c r="CP39" s="312"/>
    </row>
    <row r="40" spans="3:94" ht="13.5" customHeight="1">
      <c r="C40" s="432"/>
      <c r="D40" s="541"/>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513"/>
      <c r="AP40" s="513"/>
      <c r="AQ40" s="513"/>
      <c r="AR40" s="513"/>
      <c r="AT40" s="567"/>
      <c r="AU40" s="554"/>
      <c r="AV40" s="554"/>
      <c r="AW40" s="123"/>
      <c r="AX40" s="125"/>
      <c r="AY40" s="125"/>
      <c r="AZ40" s="284"/>
      <c r="BA40" s="104"/>
      <c r="BB40" s="104"/>
      <c r="BC40" s="104"/>
      <c r="BD40" s="294"/>
      <c r="BE40" s="104"/>
      <c r="BF40" s="284"/>
      <c r="BG40" s="104"/>
      <c r="BH40" s="294"/>
      <c r="BI40" s="294"/>
      <c r="BJ40" s="561"/>
      <c r="BK40" s="104"/>
      <c r="BL40" s="561"/>
      <c r="BM40" s="104"/>
      <c r="BN40" s="562"/>
      <c r="BO40" s="555"/>
      <c r="BP40" s="294"/>
      <c r="BQ40" s="294"/>
      <c r="BR40" s="561"/>
      <c r="BS40" s="294"/>
      <c r="BT40" s="294"/>
      <c r="BU40" s="294"/>
      <c r="BV40" s="561"/>
      <c r="BW40" s="294"/>
      <c r="BX40" s="561"/>
      <c r="BY40" s="104"/>
      <c r="BZ40" s="294"/>
      <c r="CA40" s="294"/>
      <c r="CB40" s="561"/>
      <c r="CC40" s="557"/>
      <c r="CD40" s="294"/>
      <c r="CE40" s="294"/>
      <c r="CF40" s="561"/>
      <c r="CG40" s="568"/>
      <c r="CH40" s="294"/>
      <c r="CI40" s="312"/>
      <c r="CJ40" s="312"/>
      <c r="CK40" s="312"/>
      <c r="CL40" s="312"/>
      <c r="CM40" s="312"/>
      <c r="CN40" s="312"/>
      <c r="CO40" s="312"/>
      <c r="CP40" s="312"/>
    </row>
    <row r="41" spans="1:94" ht="14.25" customHeight="1">
      <c r="A41" s="467"/>
      <c r="B41" s="454">
        <v>1</v>
      </c>
      <c r="C41" s="331" t="s">
        <v>371</v>
      </c>
      <c r="D41" s="433"/>
      <c r="E41" s="331"/>
      <c r="F41" s="231"/>
      <c r="G41" s="231"/>
      <c r="H41" s="334"/>
      <c r="I41" s="335"/>
      <c r="J41" s="336"/>
      <c r="K41" s="335"/>
      <c r="L41" s="336"/>
      <c r="M41" s="335"/>
      <c r="N41" s="336"/>
      <c r="O41" s="335"/>
      <c r="P41" s="336"/>
      <c r="Q41" s="335"/>
      <c r="R41" s="334"/>
      <c r="S41" s="335"/>
      <c r="T41" s="334"/>
      <c r="U41" s="335"/>
      <c r="V41" s="334"/>
      <c r="W41" s="335"/>
      <c r="X41" s="334"/>
      <c r="Y41" s="335"/>
      <c r="Z41" s="334"/>
      <c r="AA41" s="434"/>
      <c r="AB41" s="334"/>
      <c r="AC41" s="335"/>
      <c r="AD41" s="336"/>
      <c r="AE41" s="335"/>
      <c r="AF41" s="334"/>
      <c r="AG41" s="335"/>
      <c r="AH41" s="334"/>
      <c r="AI41" s="335"/>
      <c r="AJ41" s="335"/>
      <c r="AK41" s="335"/>
      <c r="AL41" s="335"/>
      <c r="AM41" s="335"/>
      <c r="AN41" s="387"/>
      <c r="AO41" s="386"/>
      <c r="AP41" s="387"/>
      <c r="AQ41" s="386"/>
      <c r="AR41" s="474"/>
      <c r="AS41" s="515"/>
      <c r="AT41" s="87">
        <v>11</v>
      </c>
      <c r="AU41" s="271" t="s">
        <v>109</v>
      </c>
      <c r="AV41" s="123" t="s">
        <v>373</v>
      </c>
      <c r="AW41" s="125">
        <f>F18</f>
        <v>0</v>
      </c>
      <c r="AX41" s="124"/>
      <c r="AY41" s="124">
        <f aca="true" t="shared" si="37" ref="AY41:CG41">H18</f>
        <v>0</v>
      </c>
      <c r="AZ41" s="87"/>
      <c r="BA41" s="125">
        <f t="shared" si="37"/>
        <v>0</v>
      </c>
      <c r="BB41" s="87"/>
      <c r="BC41" s="125">
        <f t="shared" si="37"/>
        <v>0</v>
      </c>
      <c r="BD41" s="87"/>
      <c r="BE41" s="125">
        <f t="shared" si="37"/>
        <v>0</v>
      </c>
      <c r="BF41" s="87"/>
      <c r="BG41" s="125">
        <f t="shared" si="37"/>
        <v>0</v>
      </c>
      <c r="BH41" s="87"/>
      <c r="BI41" s="87">
        <f t="shared" si="37"/>
        <v>0</v>
      </c>
      <c r="BJ41" s="123"/>
      <c r="BK41" s="123">
        <f t="shared" si="37"/>
        <v>0</v>
      </c>
      <c r="BL41" s="123"/>
      <c r="BM41" s="125">
        <f t="shared" si="37"/>
        <v>0</v>
      </c>
      <c r="BN41" s="87"/>
      <c r="BO41" s="123">
        <f t="shared" si="37"/>
        <v>0</v>
      </c>
      <c r="BP41" s="87"/>
      <c r="BQ41" s="87">
        <f t="shared" si="37"/>
        <v>0</v>
      </c>
      <c r="BR41" s="123"/>
      <c r="BS41" s="87">
        <f t="shared" si="37"/>
        <v>0</v>
      </c>
      <c r="BT41" s="87"/>
      <c r="BU41" s="87">
        <f t="shared" si="37"/>
        <v>0</v>
      </c>
      <c r="BV41" s="123"/>
      <c r="BW41" s="87">
        <f t="shared" si="37"/>
        <v>0</v>
      </c>
      <c r="BX41" s="123"/>
      <c r="BY41" s="125">
        <f t="shared" si="37"/>
        <v>0</v>
      </c>
      <c r="BZ41" s="87"/>
      <c r="CA41" s="87">
        <f t="shared" si="37"/>
        <v>0</v>
      </c>
      <c r="CB41" s="123"/>
      <c r="CC41" s="124">
        <f t="shared" si="37"/>
        <v>0</v>
      </c>
      <c r="CD41" s="87"/>
      <c r="CE41" s="87">
        <f t="shared" si="37"/>
        <v>0</v>
      </c>
      <c r="CF41" s="123"/>
      <c r="CG41" s="125">
        <f t="shared" si="37"/>
        <v>0</v>
      </c>
      <c r="CH41" s="87"/>
      <c r="CI41" s="312"/>
      <c r="CJ41" s="312"/>
      <c r="CK41" s="312"/>
      <c r="CL41" s="312"/>
      <c r="CM41" s="312"/>
      <c r="CN41" s="312"/>
      <c r="CO41" s="312"/>
      <c r="CP41" s="312"/>
    </row>
    <row r="42" spans="1:86" s="220" customFormat="1" ht="11.25" customHeight="1">
      <c r="A42" s="198"/>
      <c r="B42" s="199"/>
      <c r="C42" s="435"/>
      <c r="D42" s="435"/>
      <c r="E42" s="436"/>
      <c r="F42" s="373"/>
      <c r="G42" s="373"/>
      <c r="H42" s="369"/>
      <c r="I42" s="370"/>
      <c r="J42" s="371"/>
      <c r="K42" s="370"/>
      <c r="L42" s="371"/>
      <c r="M42" s="370"/>
      <c r="N42" s="371"/>
      <c r="O42" s="370"/>
      <c r="P42" s="371"/>
      <c r="Q42" s="370"/>
      <c r="R42" s="369"/>
      <c r="S42" s="370"/>
      <c r="T42" s="369"/>
      <c r="U42" s="370"/>
      <c r="V42" s="369"/>
      <c r="W42" s="370"/>
      <c r="X42" s="369"/>
      <c r="Y42" s="370"/>
      <c r="Z42" s="369"/>
      <c r="AA42" s="437"/>
      <c r="AB42" s="369"/>
      <c r="AC42" s="370"/>
      <c r="AD42" s="371"/>
      <c r="AE42" s="370"/>
      <c r="AF42" s="369"/>
      <c r="AG42" s="372"/>
      <c r="AH42" s="367"/>
      <c r="AI42" s="372"/>
      <c r="AJ42" s="372"/>
      <c r="AK42" s="372"/>
      <c r="AL42" s="372"/>
      <c r="AM42" s="372"/>
      <c r="AN42" s="239"/>
      <c r="AO42" s="240"/>
      <c r="AP42" s="239"/>
      <c r="AQ42" s="240"/>
      <c r="AR42" s="211"/>
      <c r="AS42" s="209"/>
      <c r="AT42" s="569"/>
      <c r="AU42" s="570"/>
      <c r="AV42" s="571"/>
      <c r="AW42" s="572"/>
      <c r="AX42" s="87"/>
      <c r="AY42" s="572"/>
      <c r="AZ42" s="125"/>
      <c r="BA42" s="572"/>
      <c r="BB42" s="105"/>
      <c r="BC42" s="572"/>
      <c r="BD42" s="87"/>
      <c r="BE42" s="87"/>
      <c r="BF42" s="87"/>
      <c r="BG42" s="572"/>
      <c r="BH42" s="87"/>
      <c r="BI42" s="105"/>
      <c r="BJ42" s="573"/>
      <c r="BK42" s="573"/>
      <c r="BL42" s="123"/>
      <c r="BM42" s="104"/>
      <c r="BN42" s="105"/>
      <c r="BO42" s="561"/>
      <c r="BP42" s="105"/>
      <c r="BQ42" s="294"/>
      <c r="BR42" s="561"/>
      <c r="BS42" s="105"/>
      <c r="BT42" s="294"/>
      <c r="BU42" s="104"/>
      <c r="BV42" s="105"/>
      <c r="BW42" s="105"/>
      <c r="BX42" s="561"/>
      <c r="BY42" s="104"/>
      <c r="BZ42" s="294"/>
      <c r="CA42" s="294"/>
      <c r="CB42" s="573"/>
      <c r="CC42" s="294"/>
      <c r="CD42" s="561"/>
      <c r="CE42" s="105"/>
      <c r="CF42" s="561"/>
      <c r="CG42" s="568"/>
      <c r="CH42" s="294"/>
    </row>
    <row r="43" spans="1:86" s="220" customFormat="1" ht="11.25" customHeight="1">
      <c r="A43" s="198"/>
      <c r="B43" s="199"/>
      <c r="C43" s="342" t="s">
        <v>366</v>
      </c>
      <c r="D43" s="438" t="s">
        <v>369</v>
      </c>
      <c r="E43" s="438"/>
      <c r="F43" s="439"/>
      <c r="G43" s="439"/>
      <c r="H43" s="440"/>
      <c r="I43" s="441"/>
      <c r="J43" s="442"/>
      <c r="K43" s="441"/>
      <c r="L43" s="442"/>
      <c r="M43" s="441"/>
      <c r="N43" s="442"/>
      <c r="O43" s="441"/>
      <c r="P43" s="442"/>
      <c r="Q43" s="441"/>
      <c r="R43" s="440"/>
      <c r="S43" s="441"/>
      <c r="T43" s="440"/>
      <c r="U43" s="441"/>
      <c r="V43" s="440"/>
      <c r="W43" s="441"/>
      <c r="X43" s="440"/>
      <c r="Y43" s="441"/>
      <c r="Z43" s="440"/>
      <c r="AA43" s="443"/>
      <c r="AB43" s="440"/>
      <c r="AC43" s="441"/>
      <c r="AD43" s="442"/>
      <c r="AE43" s="441"/>
      <c r="AF43" s="440"/>
      <c r="AG43" s="441"/>
      <c r="AH43" s="440"/>
      <c r="AI43" s="441"/>
      <c r="AJ43" s="441"/>
      <c r="AK43" s="441"/>
      <c r="AL43" s="441"/>
      <c r="AM43" s="441"/>
      <c r="AN43" s="440"/>
      <c r="AO43" s="441"/>
      <c r="AP43" s="440"/>
      <c r="AQ43" s="441"/>
      <c r="AR43" s="518"/>
      <c r="AS43" s="209"/>
      <c r="AT43" s="329">
        <v>21</v>
      </c>
      <c r="AU43" s="311" t="s">
        <v>318</v>
      </c>
      <c r="AV43" s="87" t="s">
        <v>373</v>
      </c>
      <c r="AW43" s="123">
        <f>SUM(F19:F21)</f>
        <v>0</v>
      </c>
      <c r="AX43" s="87"/>
      <c r="AY43" s="87">
        <f>SUM(H19:H21)</f>
        <v>0</v>
      </c>
      <c r="AZ43" s="87"/>
      <c r="BA43" s="124">
        <f>SUM(J19:J21)</f>
        <v>0</v>
      </c>
      <c r="BB43" s="87"/>
      <c r="BC43" s="125">
        <f>SUM(L19:L21)</f>
        <v>0</v>
      </c>
      <c r="BD43" s="87"/>
      <c r="BE43" s="87">
        <f>SUM(N19:N21)</f>
        <v>0</v>
      </c>
      <c r="BF43" s="87"/>
      <c r="BG43" s="123">
        <f>SUM(P19:P21)</f>
        <v>0</v>
      </c>
      <c r="BH43" s="87"/>
      <c r="BI43" s="87">
        <f>SUM(R19:R21)</f>
        <v>0</v>
      </c>
      <c r="BJ43" s="123"/>
      <c r="BK43" s="123">
        <f>SUM(T19:T21)</f>
        <v>0</v>
      </c>
      <c r="BL43" s="123"/>
      <c r="BM43" s="124">
        <f>SUM(V19:V21)</f>
        <v>0</v>
      </c>
      <c r="BN43" s="87"/>
      <c r="BO43" s="87">
        <f>SUM(X19:X21)</f>
        <v>0</v>
      </c>
      <c r="BP43" s="123"/>
      <c r="BQ43" s="87">
        <f>SUM(Z19:Z21)</f>
        <v>0</v>
      </c>
      <c r="BR43" s="87"/>
      <c r="BS43" s="123">
        <f>SUM(AB19:AB21)</f>
        <v>0</v>
      </c>
      <c r="BT43" s="87"/>
      <c r="BU43" s="123">
        <f>SUM(AD19:AD21)</f>
        <v>0</v>
      </c>
      <c r="BV43" s="87"/>
      <c r="BW43" s="87">
        <f>SUM(AF19:AF21)</f>
        <v>0</v>
      </c>
      <c r="BX43" s="87"/>
      <c r="BY43" s="125">
        <f>SUM(AH19:AH21)</f>
        <v>0</v>
      </c>
      <c r="BZ43" s="87"/>
      <c r="CA43" s="87">
        <f>SUM(AJ19:AJ21)</f>
        <v>0</v>
      </c>
      <c r="CB43" s="123"/>
      <c r="CC43" s="87">
        <f>SUM(AL19:AL21)</f>
        <v>0</v>
      </c>
      <c r="CD43" s="123"/>
      <c r="CE43" s="123">
        <f>SUM(AN19:AN21)</f>
        <v>0</v>
      </c>
      <c r="CF43" s="87"/>
      <c r="CG43" s="123">
        <f>SUM(AP19:AP21)</f>
        <v>0</v>
      </c>
      <c r="CH43" s="87">
        <f>SUM(AQ19:AQ21)</f>
        <v>0</v>
      </c>
    </row>
    <row r="44" spans="1:86" s="468" customFormat="1" ht="18" customHeight="1">
      <c r="A44" s="198"/>
      <c r="B44" s="199"/>
      <c r="C44" s="596"/>
      <c r="D44" s="736"/>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7"/>
      <c r="AO44" s="737"/>
      <c r="AP44" s="737"/>
      <c r="AQ44" s="737"/>
      <c r="AR44" s="738"/>
      <c r="AS44" s="209"/>
      <c r="AT44" s="343" t="s">
        <v>208</v>
      </c>
      <c r="AU44" s="344" t="s">
        <v>235</v>
      </c>
      <c r="AV44" s="103"/>
      <c r="AW44" s="574" t="str">
        <f>IF(OR(ISBLANK(F18),ISBLANK(F19),ISBLANK(F20),ISBLANK(F21)),"N/A",IF((AW41=AW43),"ok","&lt;&gt;"))</f>
        <v>N/A</v>
      </c>
      <c r="AX44" s="103"/>
      <c r="AY44" s="103" t="str">
        <f>IF(OR(ISBLANK(H18),ISBLANK(H19),ISBLANK(H20),ISBLANK(H21)),"N/A",IF((AY41=AY43),"ok","&lt;&gt;"))</f>
        <v>N/A</v>
      </c>
      <c r="AZ44" s="103"/>
      <c r="BA44" s="575" t="str">
        <f>IF(OR(ISBLANK(J18),ISBLANK(J19),ISBLANK(J20),ISBLANK(J21)),"N/A",IF((BA41=BA43),"ok","&lt;&gt;"))</f>
        <v>N/A</v>
      </c>
      <c r="BB44" s="575"/>
      <c r="BC44" s="575" t="str">
        <f>IF(OR(ISBLANK(L18),ISBLANK(L19),ISBLANK(L20),ISBLANK(L21)),"N/A",IF((BC41=BC43),"ok","&lt;&gt;"))</f>
        <v>N/A</v>
      </c>
      <c r="BD44" s="575"/>
      <c r="BE44" s="539" t="str">
        <f>IF(OR(ISBLANK(N18),ISBLANK(N19),ISBLANK(N20),ISBLANK(N21)),"N/A",IF((BE41=BE43),"ok","&lt;&gt;"))</f>
        <v>N/A</v>
      </c>
      <c r="BF44" s="103"/>
      <c r="BG44" s="539" t="str">
        <f>IF(OR(ISBLANK(P18),ISBLANK(P19),ISBLANK(P20),ISBLANK(P21)),"N/A",IF((BG41=BG43),"ok","&lt;&gt;"))</f>
        <v>N/A</v>
      </c>
      <c r="BH44" s="103"/>
      <c r="BI44" s="539" t="str">
        <f>IF(OR(ISBLANK(R18),ISBLANK(R19),ISBLANK(R20),ISBLANK(R21)),"N/A",IF((BI41=BI43),"ok","&lt;&gt;"))</f>
        <v>N/A</v>
      </c>
      <c r="BJ44" s="575"/>
      <c r="BK44" s="575" t="str">
        <f>IF(OR(ISBLANK(T18),ISBLANK(T19),ISBLANK(T20),ISBLANK(T21)),"N/A",IF((BK41=BK43),"ok","&lt;&gt;"))</f>
        <v>N/A</v>
      </c>
      <c r="BL44" s="103"/>
      <c r="BM44" s="539" t="str">
        <f>IF(OR(ISBLANK(V18),ISBLANK(V19),ISBLANK(V20),ISBLANK(V21)),"N/A",IF((BM41=BM43),"ok","&lt;&gt;"))</f>
        <v>N/A</v>
      </c>
      <c r="BN44" s="103"/>
      <c r="BO44" s="103" t="str">
        <f>IF(OR(ISBLANK(X18),ISBLANK(X19),ISBLANK(X20),ISBLANK(X21)),"N/A",IF((BO41=BO43),"ok","&lt;&gt;"))</f>
        <v>N/A</v>
      </c>
      <c r="BP44" s="574"/>
      <c r="BQ44" s="103" t="str">
        <f>IF(OR(ISBLANK(Z18),ISBLANK(Z19),ISBLANK(Z20),ISBLANK(Z21)),"N/A",IF((BQ41=BQ43),"ok","&lt;&gt;"))</f>
        <v>N/A</v>
      </c>
      <c r="BR44" s="539"/>
      <c r="BS44" s="575" t="str">
        <f>IF(OR(ISBLANK(AB18),ISBLANK(AB19),ISBLANK(AB20),ISBLANK(AB21)),"N/A",IF((BS41=BS43),"ok","&lt;&gt;"))</f>
        <v>N/A</v>
      </c>
      <c r="BT44" s="575"/>
      <c r="BU44" s="575" t="str">
        <f>IF(OR(ISBLANK(AD18),ISBLANK(AD19),ISBLANK(AD20),ISBLANK(AD21)),"N/A",IF((BU41=BU43),"ok","&lt;&gt;"))</f>
        <v>N/A</v>
      </c>
      <c r="BV44" s="575"/>
      <c r="BW44" s="575" t="str">
        <f>IF(OR(ISBLANK(AF18),ISBLANK(AF19),ISBLANK(AF20),ISBLANK(AF21)),"N/A",IF((BW41=BW43),"ok","&lt;&gt;"))</f>
        <v>N/A</v>
      </c>
      <c r="BX44" s="575"/>
      <c r="BY44" s="575" t="str">
        <f>IF(OR(ISBLANK(AH18),ISBLANK(AH19),ISBLANK(AH20),ISBLANK(AH21)),"N/A",IF((BY41=BY43),"ok","&lt;&gt;"))</f>
        <v>N/A</v>
      </c>
      <c r="BZ44" s="575"/>
      <c r="CA44" s="575" t="str">
        <f>IF(OR(ISBLANK(AJ18),ISBLANK(AJ19),ISBLANK(AJ20),ISBLANK(AJ21)),"N/A",IF((CA41=CA43),"ok","&lt;&gt;"))</f>
        <v>N/A</v>
      </c>
      <c r="CB44" s="103"/>
      <c r="CC44" s="575" t="str">
        <f>IF(OR(ISBLANK(AL18),ISBLANK(AL19),ISBLANK(AL20),ISBLANK(AL21)),"N/A",IF((CC41=CC43),"ok","&lt;&gt;"))</f>
        <v>N/A</v>
      </c>
      <c r="CD44" s="575"/>
      <c r="CE44" s="575" t="str">
        <f>IF(OR(ISBLANK(AN18),ISBLANK(AN19),ISBLANK(AN20),ISBLANK(AN21)),"N/A",IF((CE41=CE43),"ok","&lt;&gt;"))</f>
        <v>N/A</v>
      </c>
      <c r="CF44" s="575"/>
      <c r="CG44" s="103" t="str">
        <f>IF(OR(ISBLANK(AP18),ISBLANK(AP19),ISBLANK(AP20),ISBLANK(AP21)),"N/A",IF((CG41=CG43),"ok","&lt;&gt;"))</f>
        <v>N/A</v>
      </c>
      <c r="CH44" s="103"/>
    </row>
    <row r="45" spans="3:86" ht="18" customHeight="1">
      <c r="C45" s="596"/>
      <c r="D45" s="756"/>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8"/>
      <c r="AT45" s="345" t="s">
        <v>68</v>
      </c>
      <c r="AU45" s="346" t="s">
        <v>69</v>
      </c>
      <c r="AV45" s="307"/>
      <c r="AW45" s="576"/>
      <c r="AX45" s="577"/>
      <c r="AY45" s="307"/>
      <c r="AZ45" s="307"/>
      <c r="BA45" s="307"/>
      <c r="BB45" s="307"/>
      <c r="BC45" s="307"/>
      <c r="BD45" s="307"/>
      <c r="BE45" s="307"/>
      <c r="BF45" s="307"/>
      <c r="BG45" s="307"/>
      <c r="BH45" s="307"/>
      <c r="BI45" s="307"/>
      <c r="BJ45" s="307"/>
      <c r="BK45" s="307"/>
      <c r="BL45" s="307"/>
      <c r="BM45" s="307"/>
      <c r="BN45" s="307"/>
      <c r="BO45" s="307"/>
      <c r="BP45" s="576"/>
      <c r="BQ45" s="577"/>
      <c r="BR45" s="307"/>
      <c r="BS45" s="307"/>
      <c r="BT45" s="307"/>
      <c r="BU45" s="307"/>
      <c r="BV45" s="307"/>
      <c r="BW45" s="307"/>
      <c r="BX45" s="307"/>
      <c r="BY45" s="307"/>
      <c r="BZ45" s="307"/>
      <c r="CA45" s="307"/>
      <c r="CB45" s="307"/>
      <c r="CC45" s="307"/>
      <c r="CD45" s="307"/>
      <c r="CE45" s="307"/>
      <c r="CF45" s="307"/>
      <c r="CG45" s="307"/>
      <c r="CH45" s="307"/>
    </row>
    <row r="46" spans="3:86" ht="18" customHeight="1">
      <c r="C46" s="596"/>
      <c r="D46" s="756"/>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8"/>
      <c r="AT46" s="345" t="s">
        <v>70</v>
      </c>
      <c r="AU46" s="346" t="s">
        <v>71</v>
      </c>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row>
    <row r="47" spans="3:86" ht="18" customHeight="1">
      <c r="C47" s="596"/>
      <c r="D47" s="756"/>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8"/>
      <c r="AT47" s="347" t="s">
        <v>73</v>
      </c>
      <c r="AU47" s="346" t="s">
        <v>75</v>
      </c>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row>
    <row r="48" spans="3:86" ht="18" customHeight="1">
      <c r="C48" s="596"/>
      <c r="D48" s="756"/>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8"/>
      <c r="AT48" s="347" t="s">
        <v>72</v>
      </c>
      <c r="AU48" s="346" t="s">
        <v>14</v>
      </c>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row>
    <row r="49" spans="3:44" ht="18" customHeight="1">
      <c r="C49" s="596"/>
      <c r="D49" s="756"/>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8"/>
    </row>
    <row r="50" spans="3:44" ht="18" customHeight="1">
      <c r="C50" s="596"/>
      <c r="D50" s="756"/>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8"/>
    </row>
    <row r="51" spans="3:44" ht="18" customHeight="1">
      <c r="C51" s="596"/>
      <c r="D51" s="756"/>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8"/>
    </row>
    <row r="52" spans="3:44" ht="18" customHeight="1">
      <c r="C52" s="596"/>
      <c r="D52" s="756"/>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8"/>
    </row>
    <row r="53" spans="3:44" ht="18" customHeight="1">
      <c r="C53" s="596"/>
      <c r="D53" s="756"/>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8"/>
    </row>
    <row r="54" spans="3:44" ht="18" customHeight="1">
      <c r="C54" s="596"/>
      <c r="D54" s="756"/>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8"/>
    </row>
    <row r="55" spans="3:44" ht="18" customHeight="1">
      <c r="C55" s="596"/>
      <c r="D55" s="756"/>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8"/>
    </row>
    <row r="56" spans="3:44" ht="18" customHeight="1">
      <c r="C56" s="596"/>
      <c r="D56" s="756"/>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8"/>
    </row>
    <row r="57" spans="3:44" ht="18" customHeight="1">
      <c r="C57" s="596"/>
      <c r="D57" s="756"/>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8"/>
    </row>
    <row r="58" spans="3:44" ht="18" customHeight="1">
      <c r="C58" s="596"/>
      <c r="D58" s="756"/>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8"/>
    </row>
    <row r="59" spans="3:44" ht="18" customHeight="1">
      <c r="C59" s="596"/>
      <c r="D59" s="756"/>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8"/>
    </row>
    <row r="60" spans="3:44" ht="18" customHeight="1">
      <c r="C60" s="596"/>
      <c r="D60" s="756"/>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c r="AO60" s="757"/>
      <c r="AP60" s="757"/>
      <c r="AQ60" s="757"/>
      <c r="AR60" s="758"/>
    </row>
    <row r="61" spans="3:44" ht="18" customHeight="1">
      <c r="C61" s="596"/>
      <c r="D61" s="756"/>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8"/>
    </row>
    <row r="62" spans="3:44" ht="18" customHeight="1">
      <c r="C62" s="596"/>
      <c r="D62" s="756"/>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L62" s="757"/>
      <c r="AM62" s="757"/>
      <c r="AN62" s="757"/>
      <c r="AO62" s="757"/>
      <c r="AP62" s="757"/>
      <c r="AQ62" s="757"/>
      <c r="AR62" s="758"/>
    </row>
    <row r="63" spans="3:44" ht="18" customHeight="1">
      <c r="C63" s="596"/>
      <c r="D63" s="756"/>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57"/>
      <c r="AN63" s="757"/>
      <c r="AO63" s="757"/>
      <c r="AP63" s="757"/>
      <c r="AQ63" s="757"/>
      <c r="AR63" s="758"/>
    </row>
    <row r="64" spans="3:44" ht="18" customHeight="1">
      <c r="C64" s="658"/>
      <c r="D64" s="756"/>
      <c r="E64" s="757"/>
      <c r="F64" s="757"/>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8"/>
    </row>
    <row r="65" spans="3:44" ht="18" customHeight="1">
      <c r="C65" s="656"/>
      <c r="D65" s="767"/>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9"/>
    </row>
    <row r="66" spans="1:86" ht="18" customHeight="1">
      <c r="A66" s="520"/>
      <c r="B66" s="458"/>
      <c r="C66" s="390"/>
      <c r="D66" s="627"/>
      <c r="E66" s="627"/>
      <c r="F66" s="627"/>
      <c r="G66" s="627"/>
      <c r="H66" s="627"/>
      <c r="I66" s="625"/>
      <c r="J66" s="625"/>
      <c r="K66" s="625"/>
      <c r="L66" s="625"/>
      <c r="M66" s="625"/>
      <c r="N66" s="625"/>
      <c r="O66" s="625"/>
      <c r="P66" s="625"/>
      <c r="Q66" s="625"/>
      <c r="R66" s="627"/>
      <c r="S66" s="625"/>
      <c r="T66" s="627"/>
      <c r="U66" s="625"/>
      <c r="V66" s="627"/>
      <c r="W66" s="625"/>
      <c r="X66" s="627"/>
      <c r="Y66" s="625"/>
      <c r="Z66" s="627"/>
      <c r="AA66" s="628"/>
      <c r="AB66" s="627"/>
      <c r="AC66" s="625"/>
      <c r="AD66" s="625"/>
      <c r="AE66" s="625"/>
      <c r="AF66" s="627"/>
      <c r="AG66" s="625"/>
      <c r="AH66" s="627"/>
      <c r="AI66" s="626"/>
      <c r="AJ66" s="626"/>
      <c r="AK66" s="626"/>
      <c r="AL66" s="626"/>
      <c r="AM66" s="626"/>
      <c r="AN66" s="629"/>
      <c r="AO66" s="626"/>
      <c r="AP66" s="629"/>
      <c r="AQ66" s="626"/>
      <c r="AR66" s="62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c r="BY66" s="469"/>
      <c r="BZ66" s="469"/>
      <c r="CA66" s="469"/>
      <c r="CB66" s="469"/>
      <c r="CC66" s="469"/>
      <c r="CD66" s="469"/>
      <c r="CE66" s="469"/>
      <c r="CF66" s="469"/>
      <c r="CG66" s="469"/>
      <c r="CH66" s="469"/>
    </row>
    <row r="67" spans="46:80" ht="18" customHeight="1">
      <c r="AT67" s="578"/>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c r="BW67" s="579"/>
      <c r="BX67" s="579"/>
      <c r="BY67" s="579"/>
      <c r="BZ67" s="579"/>
      <c r="CA67" s="579"/>
      <c r="CB67" s="579"/>
    </row>
    <row r="68" spans="46:80" ht="18" customHeight="1">
      <c r="AT68" s="542"/>
      <c r="AU68" s="542"/>
      <c r="AV68" s="542"/>
      <c r="AW68" s="542"/>
      <c r="AX68" s="580"/>
      <c r="AY68" s="542"/>
      <c r="AZ68" s="580"/>
      <c r="BA68" s="542"/>
      <c r="BB68" s="580"/>
      <c r="BC68" s="542"/>
      <c r="BD68" s="580"/>
      <c r="BE68" s="542"/>
      <c r="BF68" s="580"/>
      <c r="BG68" s="542"/>
      <c r="BH68" s="580"/>
      <c r="BI68" s="542"/>
      <c r="BJ68" s="580"/>
      <c r="BK68" s="542"/>
      <c r="BL68" s="580"/>
      <c r="BM68" s="542"/>
      <c r="BN68" s="580"/>
      <c r="BO68" s="542"/>
      <c r="BP68" s="580"/>
      <c r="BQ68" s="542"/>
      <c r="BR68" s="580"/>
      <c r="BS68" s="542"/>
      <c r="BT68" s="580"/>
      <c r="BU68" s="542"/>
      <c r="BV68" s="580"/>
      <c r="BW68" s="542"/>
      <c r="BX68" s="580"/>
      <c r="BY68" s="542"/>
      <c r="BZ68" s="580"/>
      <c r="CA68" s="542"/>
      <c r="CB68" s="580"/>
    </row>
    <row r="69" spans="1:86" s="312" customFormat="1" ht="10.5" customHeight="1">
      <c r="A69" s="198"/>
      <c r="B69" s="199"/>
      <c r="C69" s="211"/>
      <c r="D69" s="211"/>
      <c r="E69" s="211"/>
      <c r="F69" s="211"/>
      <c r="G69" s="211"/>
      <c r="H69" s="239"/>
      <c r="I69" s="240"/>
      <c r="J69" s="241"/>
      <c r="K69" s="240"/>
      <c r="L69" s="241"/>
      <c r="M69" s="240"/>
      <c r="N69" s="241"/>
      <c r="O69" s="240"/>
      <c r="P69" s="241"/>
      <c r="Q69" s="240"/>
      <c r="R69" s="239"/>
      <c r="S69" s="240"/>
      <c r="T69" s="239"/>
      <c r="U69" s="240"/>
      <c r="V69" s="239"/>
      <c r="W69" s="240"/>
      <c r="X69" s="239"/>
      <c r="Y69" s="240"/>
      <c r="Z69" s="239"/>
      <c r="AA69" s="240"/>
      <c r="AB69" s="239"/>
      <c r="AC69" s="240"/>
      <c r="AD69" s="241"/>
      <c r="AE69" s="240"/>
      <c r="AF69" s="239"/>
      <c r="AG69" s="240"/>
      <c r="AH69" s="239"/>
      <c r="AI69" s="240"/>
      <c r="AJ69" s="240"/>
      <c r="AK69" s="240"/>
      <c r="AL69" s="240"/>
      <c r="AM69" s="240"/>
      <c r="AN69" s="239"/>
      <c r="AO69" s="240"/>
      <c r="AP69" s="239"/>
      <c r="AQ69" s="240"/>
      <c r="AR69" s="211"/>
      <c r="AS69" s="209"/>
      <c r="AT69" s="104"/>
      <c r="AU69" s="581"/>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448"/>
      <c r="CC69" s="209"/>
      <c r="CD69" s="209"/>
      <c r="CE69" s="209"/>
      <c r="CF69" s="209"/>
      <c r="CG69" s="209"/>
      <c r="CH69" s="209"/>
    </row>
    <row r="70" spans="46:80" ht="12.75">
      <c r="AT70" s="104"/>
      <c r="AU70" s="581"/>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448"/>
    </row>
    <row r="71" spans="46:80" ht="12.75">
      <c r="AT71" s="449"/>
      <c r="AU71" s="450"/>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448"/>
    </row>
    <row r="72" spans="46:80" ht="12.75">
      <c r="AT72" s="449"/>
      <c r="AU72" s="450"/>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448"/>
    </row>
    <row r="73" spans="46:80" ht="12.75">
      <c r="AT73" s="104"/>
      <c r="AU73" s="581"/>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469"/>
    </row>
    <row r="74" spans="46:80" ht="12.75">
      <c r="AT74" s="104"/>
      <c r="AU74" s="582"/>
      <c r="AV74" s="104"/>
      <c r="AW74" s="104"/>
      <c r="AX74" s="448"/>
      <c r="AY74" s="122"/>
      <c r="AZ74" s="448"/>
      <c r="BA74" s="122"/>
      <c r="BB74" s="448"/>
      <c r="BC74" s="122"/>
      <c r="BD74" s="448"/>
      <c r="BE74" s="122"/>
      <c r="BF74" s="448"/>
      <c r="BG74" s="104"/>
      <c r="BH74" s="448"/>
      <c r="BI74" s="104"/>
      <c r="BJ74" s="448"/>
      <c r="BK74" s="104"/>
      <c r="BL74" s="448"/>
      <c r="BM74" s="104"/>
      <c r="BN74" s="448"/>
      <c r="BO74" s="104"/>
      <c r="BP74" s="448"/>
      <c r="BQ74" s="104"/>
      <c r="BR74" s="448"/>
      <c r="BS74" s="122"/>
      <c r="BT74" s="448"/>
      <c r="BU74" s="104"/>
      <c r="BV74" s="448"/>
      <c r="BW74" s="104"/>
      <c r="BX74" s="448"/>
      <c r="BY74" s="104"/>
      <c r="BZ74" s="448"/>
      <c r="CA74" s="104"/>
      <c r="CB74" s="448"/>
    </row>
    <row r="75" spans="46:80" ht="12.75">
      <c r="AT75" s="104"/>
      <c r="AU75" s="581"/>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469"/>
    </row>
    <row r="76" spans="46:80" ht="12.75">
      <c r="AT76" s="104"/>
      <c r="AU76" s="581"/>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448"/>
    </row>
    <row r="77" spans="46:80" ht="12.75">
      <c r="AT77" s="104"/>
      <c r="AU77" s="581"/>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448"/>
    </row>
    <row r="78" spans="46:80" ht="12.75">
      <c r="AT78" s="449"/>
      <c r="AU78" s="450"/>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469"/>
    </row>
    <row r="79" spans="46:80" ht="12.75">
      <c r="AT79" s="104"/>
      <c r="AU79" s="581"/>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448"/>
    </row>
    <row r="80" spans="46:80" ht="12.75">
      <c r="AT80" s="104"/>
      <c r="AU80" s="581"/>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448"/>
    </row>
    <row r="81" spans="46:80" ht="12.75">
      <c r="AT81" s="449"/>
      <c r="AU81" s="450"/>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469"/>
    </row>
    <row r="82" spans="46:80" ht="12.75">
      <c r="AT82" s="104"/>
      <c r="AU82" s="581"/>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448"/>
    </row>
    <row r="83" spans="46:80" ht="12.75">
      <c r="AT83" s="449"/>
      <c r="AU83" s="450"/>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469"/>
    </row>
    <row r="84" spans="46:80" ht="12.75">
      <c r="AT84" s="104"/>
      <c r="AU84" s="581"/>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448"/>
    </row>
    <row r="85" spans="46:80" ht="12.75">
      <c r="AT85" s="104"/>
      <c r="AU85" s="581"/>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448"/>
    </row>
    <row r="86" spans="46:80" ht="12.75">
      <c r="AT86" s="104"/>
      <c r="AU86" s="582"/>
      <c r="AV86" s="104"/>
      <c r="AW86" s="104"/>
      <c r="AX86" s="448"/>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448"/>
    </row>
    <row r="87" spans="46:80" ht="12.75">
      <c r="AT87" s="104"/>
      <c r="AU87" s="581"/>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469"/>
    </row>
    <row r="88" spans="46:80" ht="12.75">
      <c r="AT88" s="449"/>
      <c r="AU88" s="450"/>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448"/>
    </row>
    <row r="89" spans="46:80" ht="12.75">
      <c r="AT89" s="469"/>
      <c r="AU89" s="469"/>
      <c r="AV89" s="469"/>
      <c r="AW89" s="469"/>
      <c r="AX89" s="469"/>
      <c r="AY89" s="469"/>
      <c r="AZ89" s="469"/>
      <c r="BA89" s="469"/>
      <c r="BB89" s="469"/>
      <c r="BC89" s="469"/>
      <c r="BD89" s="469"/>
      <c r="BE89" s="469"/>
      <c r="BF89" s="469"/>
      <c r="BG89" s="469"/>
      <c r="BH89" s="469"/>
      <c r="BI89" s="469"/>
      <c r="BJ89" s="469"/>
      <c r="BK89" s="469"/>
      <c r="BL89" s="469"/>
      <c r="BM89" s="469"/>
      <c r="BN89" s="469"/>
      <c r="BO89" s="469"/>
      <c r="BP89" s="469"/>
      <c r="BQ89" s="469"/>
      <c r="BR89" s="469"/>
      <c r="BS89" s="469"/>
      <c r="BT89" s="469"/>
      <c r="BU89" s="469"/>
      <c r="BV89" s="469"/>
      <c r="BW89" s="469"/>
      <c r="BX89" s="469"/>
      <c r="BY89" s="469"/>
      <c r="BZ89" s="469"/>
      <c r="CA89" s="469"/>
      <c r="CB89" s="469"/>
    </row>
    <row r="90" spans="46:80" ht="12.75">
      <c r="AT90" s="104"/>
      <c r="AU90" s="581"/>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448"/>
    </row>
    <row r="91" spans="46:80" ht="12.75">
      <c r="AT91" s="104"/>
      <c r="AU91" s="581"/>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448"/>
    </row>
    <row r="92" spans="46:80" ht="12.75">
      <c r="AT92" s="449"/>
      <c r="AU92" s="450"/>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448"/>
    </row>
    <row r="93" spans="46:80" ht="12.75">
      <c r="AT93" s="104"/>
      <c r="AU93" s="583"/>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469"/>
    </row>
    <row r="94" spans="46:80" ht="12.75">
      <c r="AT94" s="584"/>
      <c r="AU94" s="450"/>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448"/>
    </row>
    <row r="95" spans="46:80" ht="12.75">
      <c r="AT95" s="584"/>
      <c r="AU95" s="450"/>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448"/>
    </row>
    <row r="96" spans="46:80" ht="12.75">
      <c r="AT96" s="584"/>
      <c r="AU96" s="450"/>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448"/>
    </row>
    <row r="97" spans="46:80" ht="12.75">
      <c r="AT97" s="584"/>
      <c r="AU97" s="450"/>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448"/>
    </row>
    <row r="98" spans="46:80" ht="12.75">
      <c r="AT98" s="584"/>
      <c r="AU98" s="450"/>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448"/>
    </row>
    <row r="99" spans="46:80" ht="12.75">
      <c r="AT99" s="584"/>
      <c r="AU99" s="450"/>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448"/>
    </row>
    <row r="100" spans="46:80" ht="12.75">
      <c r="AT100" s="584"/>
      <c r="AU100" s="450"/>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448"/>
    </row>
    <row r="101" spans="46:80" ht="12.75">
      <c r="AT101" s="584"/>
      <c r="AU101" s="450"/>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448"/>
    </row>
    <row r="102" spans="46:80" ht="12.75">
      <c r="AT102" s="584"/>
      <c r="AU102" s="450"/>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448"/>
    </row>
    <row r="103" spans="46:80" ht="12.75">
      <c r="AT103" s="104"/>
      <c r="AU103" s="581"/>
      <c r="AV103" s="104"/>
      <c r="AW103" s="104"/>
      <c r="AX103" s="448"/>
      <c r="AY103" s="122"/>
      <c r="AZ103" s="448"/>
      <c r="BA103" s="122"/>
      <c r="BB103" s="448"/>
      <c r="BC103" s="122"/>
      <c r="BD103" s="448"/>
      <c r="BE103" s="122"/>
      <c r="BF103" s="448"/>
      <c r="BG103" s="104"/>
      <c r="BH103" s="448"/>
      <c r="BI103" s="104"/>
      <c r="BJ103" s="448"/>
      <c r="BK103" s="104"/>
      <c r="BL103" s="448"/>
      <c r="BM103" s="104"/>
      <c r="BN103" s="448"/>
      <c r="BO103" s="104"/>
      <c r="BP103" s="448"/>
      <c r="BQ103" s="104"/>
      <c r="BR103" s="448"/>
      <c r="BS103" s="122"/>
      <c r="BT103" s="448"/>
      <c r="BU103" s="104"/>
      <c r="BV103" s="448"/>
      <c r="BW103" s="104"/>
      <c r="BX103" s="448"/>
      <c r="BY103" s="104"/>
      <c r="BZ103" s="448"/>
      <c r="CA103" s="104"/>
      <c r="CB103" s="448"/>
    </row>
    <row r="104" spans="46:80" ht="12.75">
      <c r="AT104" s="104"/>
      <c r="AU104" s="581"/>
      <c r="AV104" s="104"/>
      <c r="AW104" s="104"/>
      <c r="AX104" s="448"/>
      <c r="AY104" s="122"/>
      <c r="AZ104" s="448"/>
      <c r="BA104" s="122"/>
      <c r="BB104" s="448"/>
      <c r="BC104" s="122"/>
      <c r="BD104" s="448"/>
      <c r="BE104" s="122"/>
      <c r="BF104" s="448"/>
      <c r="BG104" s="104"/>
      <c r="BH104" s="448"/>
      <c r="BI104" s="104"/>
      <c r="BJ104" s="448"/>
      <c r="BK104" s="104"/>
      <c r="BL104" s="448"/>
      <c r="BM104" s="104"/>
      <c r="BN104" s="448"/>
      <c r="BO104" s="104"/>
      <c r="BP104" s="448"/>
      <c r="BQ104" s="104"/>
      <c r="BR104" s="448"/>
      <c r="BS104" s="122"/>
      <c r="BT104" s="448"/>
      <c r="BU104" s="104"/>
      <c r="BV104" s="448"/>
      <c r="BW104" s="104"/>
      <c r="BX104" s="448"/>
      <c r="BY104" s="104"/>
      <c r="BZ104" s="448"/>
      <c r="CA104" s="104"/>
      <c r="CB104" s="448"/>
    </row>
    <row r="105" spans="46:80" ht="12.75">
      <c r="AT105" s="449"/>
      <c r="AU105" s="450"/>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row>
    <row r="106" spans="46:80" ht="12.75">
      <c r="AT106" s="104"/>
      <c r="AU106" s="581"/>
      <c r="AV106" s="104"/>
      <c r="AW106" s="104"/>
      <c r="AX106" s="448"/>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448"/>
    </row>
    <row r="107" spans="46:80" ht="12.75">
      <c r="AT107" s="469"/>
      <c r="AU107" s="469"/>
      <c r="AV107" s="469"/>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448"/>
    </row>
    <row r="108" spans="48:80" ht="12.75">
      <c r="AV108" s="104"/>
      <c r="AW108" s="469"/>
      <c r="AX108" s="448"/>
      <c r="AY108" s="122"/>
      <c r="AZ108" s="448"/>
      <c r="BA108" s="122"/>
      <c r="BB108" s="448"/>
      <c r="BC108" s="122"/>
      <c r="BD108" s="448"/>
      <c r="BE108" s="122"/>
      <c r="BF108" s="448"/>
      <c r="BG108" s="104"/>
      <c r="BH108" s="448"/>
      <c r="BI108" s="104"/>
      <c r="BJ108" s="448"/>
      <c r="BK108" s="104"/>
      <c r="BL108" s="448"/>
      <c r="BM108" s="104"/>
      <c r="BN108" s="448"/>
      <c r="BO108" s="104"/>
      <c r="BP108" s="448"/>
      <c r="BQ108" s="104"/>
      <c r="BR108" s="448"/>
      <c r="BS108" s="122"/>
      <c r="BT108" s="448"/>
      <c r="BU108" s="104"/>
      <c r="BV108" s="448"/>
      <c r="BW108" s="104"/>
      <c r="BX108" s="448"/>
      <c r="BY108" s="104"/>
      <c r="BZ108" s="448"/>
      <c r="CA108" s="104"/>
      <c r="CB108" s="448"/>
    </row>
    <row r="109" spans="48:80" ht="12.75">
      <c r="AV109" s="469"/>
      <c r="AW109" s="469"/>
      <c r="AX109" s="469"/>
      <c r="AY109" s="469"/>
      <c r="AZ109" s="469"/>
      <c r="BA109" s="469"/>
      <c r="BB109" s="469"/>
      <c r="BC109" s="469"/>
      <c r="BD109" s="469"/>
      <c r="BE109" s="469"/>
      <c r="BF109" s="469"/>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row>
    <row r="110" spans="46:80" ht="12.75">
      <c r="AT110" s="469"/>
      <c r="AU110" s="585"/>
      <c r="AV110" s="469"/>
      <c r="AW110" s="469"/>
      <c r="AX110" s="469"/>
      <c r="AY110" s="469"/>
      <c r="AZ110" s="469"/>
      <c r="BA110" s="469"/>
      <c r="BB110" s="469"/>
      <c r="BC110" s="469"/>
      <c r="BD110" s="469"/>
      <c r="BE110" s="469"/>
      <c r="BF110" s="469"/>
      <c r="BG110" s="469"/>
      <c r="BH110" s="469"/>
      <c r="BI110" s="469"/>
      <c r="BJ110" s="469"/>
      <c r="BK110" s="469"/>
      <c r="BL110" s="469"/>
      <c r="BM110" s="469"/>
      <c r="BN110" s="469"/>
      <c r="BO110" s="469"/>
      <c r="BP110" s="469"/>
      <c r="BQ110" s="469"/>
      <c r="BR110" s="469"/>
      <c r="BS110" s="469"/>
      <c r="BT110" s="469"/>
      <c r="BU110" s="469"/>
      <c r="BV110" s="469"/>
      <c r="BW110" s="469"/>
      <c r="BX110" s="469"/>
      <c r="BY110" s="469"/>
      <c r="BZ110" s="469"/>
      <c r="CA110" s="469"/>
      <c r="CB110" s="469"/>
    </row>
  </sheetData>
  <sheetProtection sheet="1" formatCells="0" formatColumns="0" formatRows="0" insertColumns="0" insertRows="0" insertHyperlinks="0"/>
  <mergeCells count="32">
    <mergeCell ref="D50:AR50"/>
    <mergeCell ref="D65:AR65"/>
    <mergeCell ref="D58:AR58"/>
    <mergeCell ref="D59:AR59"/>
    <mergeCell ref="D60:AR60"/>
    <mergeCell ref="D61:AR61"/>
    <mergeCell ref="D63:AR63"/>
    <mergeCell ref="D64:AR64"/>
    <mergeCell ref="D62:AR62"/>
    <mergeCell ref="D54:AR54"/>
    <mergeCell ref="C5:AH5"/>
    <mergeCell ref="D27:AR27"/>
    <mergeCell ref="D46:AR46"/>
    <mergeCell ref="D47:AR47"/>
    <mergeCell ref="D29:AR29"/>
    <mergeCell ref="D49:AR49"/>
    <mergeCell ref="AG35:AN35"/>
    <mergeCell ref="AG37:AN37"/>
    <mergeCell ref="D28:AR28"/>
    <mergeCell ref="AG33:AN33"/>
    <mergeCell ref="D55:AR55"/>
    <mergeCell ref="D56:AR56"/>
    <mergeCell ref="D57:AR57"/>
    <mergeCell ref="D51:AR51"/>
    <mergeCell ref="D53:AR53"/>
    <mergeCell ref="D52:AR52"/>
    <mergeCell ref="D48:AR48"/>
    <mergeCell ref="D30:AR30"/>
    <mergeCell ref="AG31:AN31"/>
    <mergeCell ref="D45:AR45"/>
    <mergeCell ref="D44:AR44"/>
    <mergeCell ref="T33:AA36"/>
  </mergeCells>
  <conditionalFormatting sqref="AY8:AY24">
    <cfRule type="cellIs" priority="1" dxfId="227" operator="equal" stopIfTrue="1">
      <formula>"&gt; 100%"</formula>
    </cfRule>
  </conditionalFormatting>
  <conditionalFormatting sqref="BC8:BC24 BA8:BA24 BE8:BE24 BG8:BG24 BI8:BI24 BK8:BK24 BM8:BM24 BO8:BO24 BQ8:BQ24 BS8:BS24 BU8:BU24 BW8:BW24 BY8:BY24 CA8:CA24 CC8:CC24 CE8:CE24 CG8:CG24">
    <cfRule type="cellIs" priority="2" dxfId="227" operator="equal" stopIfTrue="1">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priority="3" dxfId="227"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CV73"/>
  <sheetViews>
    <sheetView showGridLines="0" view="pageBreakPreview" zoomScale="83" zoomScaleNormal="83" zoomScaleSheetLayoutView="83" zoomScalePageLayoutView="0" workbookViewId="0" topLeftCell="C1">
      <selection activeCell="T8" sqref="T8"/>
    </sheetView>
  </sheetViews>
  <sheetFormatPr defaultColWidth="9.33203125" defaultRowHeight="12.75"/>
  <cols>
    <col min="1" max="1" width="8" style="198" hidden="1" customWidth="1"/>
    <col min="2" max="2" width="8.5" style="199" hidden="1" customWidth="1"/>
    <col min="3" max="3" width="9.5" style="211" customWidth="1"/>
    <col min="4" max="4" width="32.83203125" style="211" customWidth="1"/>
    <col min="5" max="5" width="8.66015625" style="211" customWidth="1"/>
    <col min="6" max="6" width="8.66015625"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25" customWidth="1"/>
    <col min="36" max="36" width="7" style="225" customWidth="1"/>
    <col min="37" max="37" width="1.83203125" style="225" customWidth="1"/>
    <col min="38" max="38" width="7" style="225" customWidth="1"/>
    <col min="39" max="39" width="1.83203125" style="225"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5" style="211" customWidth="1"/>
    <col min="46" max="46" width="6.66015625" style="209" customWidth="1"/>
    <col min="47" max="47" width="59" style="209" customWidth="1"/>
    <col min="48" max="48" width="7.16015625" style="209" customWidth="1"/>
    <col min="49" max="49" width="10.16015625" style="209" bestFit="1" customWidth="1"/>
    <col min="50" max="50" width="1.83203125" style="209" customWidth="1"/>
    <col min="51" max="51" width="9" style="209" customWidth="1"/>
    <col min="52" max="52" width="1.83203125" style="209" customWidth="1"/>
    <col min="53" max="53" width="10.16015625" style="209" bestFit="1" customWidth="1"/>
    <col min="54" max="54" width="1.83203125" style="209" customWidth="1"/>
    <col min="55" max="55" width="10.16015625" style="209" bestFit="1" customWidth="1"/>
    <col min="56" max="56" width="1.83203125" style="209" customWidth="1"/>
    <col min="57" max="57" width="10.16015625" style="209" bestFit="1" customWidth="1"/>
    <col min="58" max="58" width="1.83203125" style="209" customWidth="1"/>
    <col min="59" max="59" width="10.16015625" style="209" bestFit="1" customWidth="1"/>
    <col min="60" max="60" width="1.83203125" style="209" customWidth="1"/>
    <col min="61" max="61" width="10.16015625" style="209" bestFit="1" customWidth="1"/>
    <col min="62" max="62" width="1.83203125" style="209" customWidth="1"/>
    <col min="63" max="63" width="10.16015625" style="209" bestFit="1" customWidth="1"/>
    <col min="64" max="64" width="1.83203125" style="209" customWidth="1"/>
    <col min="65" max="65" width="10.16015625" style="209" bestFit="1" customWidth="1"/>
    <col min="66" max="66" width="1.83203125" style="209" customWidth="1"/>
    <col min="67" max="67" width="10.16015625" style="209" bestFit="1" customWidth="1"/>
    <col min="68" max="68" width="1.83203125" style="209" customWidth="1"/>
    <col min="69" max="69" width="10.16015625" style="209" bestFit="1" customWidth="1"/>
    <col min="70" max="70" width="1.83203125" style="209" customWidth="1"/>
    <col min="71" max="71" width="10.16015625" style="209" bestFit="1" customWidth="1"/>
    <col min="72" max="72" width="1.83203125" style="209" customWidth="1"/>
    <col min="73" max="73" width="10.16015625" style="209" bestFit="1" customWidth="1"/>
    <col min="74" max="74" width="1.83203125" style="209" customWidth="1"/>
    <col min="75" max="75" width="10.16015625" style="209" bestFit="1" customWidth="1"/>
    <col min="76" max="76" width="1.83203125" style="209" customWidth="1"/>
    <col min="77" max="77" width="9.33203125" style="209" customWidth="1"/>
    <col min="78" max="78" width="1.83203125" style="209" customWidth="1"/>
    <col min="79" max="79" width="9.33203125" style="209" customWidth="1"/>
    <col min="80" max="80" width="1.83203125" style="209" customWidth="1"/>
    <col min="81" max="81" width="10.16015625" style="209" bestFit="1" customWidth="1"/>
    <col min="82" max="82" width="1.83203125" style="209" customWidth="1"/>
    <col min="83" max="83" width="9.33203125" style="209" customWidth="1"/>
    <col min="84" max="84" width="1.83203125" style="209" customWidth="1"/>
    <col min="85" max="85" width="9.33203125" style="209" customWidth="1"/>
    <col min="86" max="86" width="1.83203125" style="209" customWidth="1"/>
    <col min="87" max="16384" width="9.33203125" style="211" customWidth="1"/>
  </cols>
  <sheetData>
    <row r="1" spans="1:86" s="468" customFormat="1" ht="1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586"/>
      <c r="AJ1" s="586"/>
      <c r="AK1" s="586"/>
      <c r="AL1" s="586"/>
      <c r="AM1" s="586"/>
      <c r="AN1" s="359"/>
      <c r="AO1" s="360"/>
      <c r="AP1" s="359"/>
      <c r="AQ1" s="360"/>
      <c r="AR1" s="522"/>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42" ht="7.5" customHeight="1">
      <c r="E2" s="363"/>
      <c r="F2" s="363"/>
      <c r="G2" s="363"/>
      <c r="H2" s="367"/>
      <c r="Y2" s="372"/>
      <c r="Z2" s="367"/>
      <c r="AA2" s="372"/>
      <c r="AB2" s="367"/>
      <c r="AC2" s="372"/>
      <c r="AD2" s="456"/>
      <c r="AE2" s="372"/>
      <c r="AF2" s="367"/>
      <c r="AG2" s="372"/>
      <c r="AH2" s="367"/>
      <c r="AN2" s="367"/>
      <c r="AP2" s="367"/>
    </row>
    <row r="3" spans="1:88" s="384" customFormat="1" ht="17.25" customHeight="1">
      <c r="A3" s="307"/>
      <c r="B3" s="307"/>
      <c r="C3" s="368" t="s">
        <v>370</v>
      </c>
      <c r="D3" s="33"/>
      <c r="E3" s="459"/>
      <c r="F3" s="460"/>
      <c r="G3" s="461"/>
      <c r="H3" s="462"/>
      <c r="I3" s="463"/>
      <c r="J3" s="462"/>
      <c r="K3" s="463"/>
      <c r="L3" s="462"/>
      <c r="M3" s="463"/>
      <c r="N3" s="462"/>
      <c r="O3" s="463"/>
      <c r="P3" s="462"/>
      <c r="Q3" s="461"/>
      <c r="R3" s="462"/>
      <c r="S3" s="461"/>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587"/>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382"/>
      <c r="CF3" s="382"/>
      <c r="CG3" s="382"/>
      <c r="CH3" s="382"/>
      <c r="CI3" s="383"/>
      <c r="CJ3" s="383"/>
    </row>
    <row r="4" spans="3:46" ht="3.75" customHeight="1">
      <c r="C4" s="524"/>
      <c r="D4" s="524"/>
      <c r="E4" s="427"/>
      <c r="F4" s="427"/>
      <c r="G4" s="427"/>
      <c r="H4" s="367"/>
      <c r="I4" s="372"/>
      <c r="J4" s="456"/>
      <c r="K4" s="372"/>
      <c r="L4" s="456"/>
      <c r="M4" s="372"/>
      <c r="N4" s="456"/>
      <c r="O4" s="372"/>
      <c r="P4" s="456"/>
      <c r="Q4" s="372"/>
      <c r="R4" s="367"/>
      <c r="S4" s="372"/>
      <c r="T4" s="367"/>
      <c r="U4" s="372"/>
      <c r="V4" s="367"/>
      <c r="W4" s="372"/>
      <c r="X4" s="367"/>
      <c r="Y4" s="372"/>
      <c r="Z4" s="367"/>
      <c r="AA4" s="372"/>
      <c r="AB4" s="367"/>
      <c r="AC4" s="372"/>
      <c r="AD4" s="456"/>
      <c r="AE4" s="372"/>
      <c r="AF4" s="367"/>
      <c r="AG4" s="372"/>
      <c r="AH4" s="525"/>
      <c r="AN4" s="367"/>
      <c r="AP4" s="367"/>
      <c r="AT4" s="348"/>
    </row>
    <row r="5" spans="1:86" s="468" customFormat="1" ht="17.25" customHeight="1">
      <c r="A5" s="467"/>
      <c r="B5" s="199">
        <v>9</v>
      </c>
      <c r="C5" s="753" t="s">
        <v>147</v>
      </c>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335"/>
      <c r="AJ5" s="335"/>
      <c r="AK5" s="335"/>
      <c r="AL5" s="335"/>
      <c r="AM5" s="335"/>
      <c r="AN5" s="387"/>
      <c r="AO5" s="386"/>
      <c r="AP5" s="387"/>
      <c r="AQ5" s="386"/>
      <c r="AR5" s="474"/>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2:86" ht="22.5" customHeight="1">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3">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495" customFormat="1" ht="36" customHeight="1">
      <c r="A8" s="418" t="s">
        <v>78</v>
      </c>
      <c r="B8" s="259">
        <v>163</v>
      </c>
      <c r="C8" s="483">
        <v>1</v>
      </c>
      <c r="D8" s="588" t="s">
        <v>10</v>
      </c>
      <c r="E8" s="262" t="s">
        <v>333</v>
      </c>
      <c r="F8" s="646"/>
      <c r="G8" s="876"/>
      <c r="H8" s="646"/>
      <c r="I8" s="876"/>
      <c r="J8" s="646"/>
      <c r="K8" s="876"/>
      <c r="L8" s="646"/>
      <c r="M8" s="876"/>
      <c r="N8" s="646"/>
      <c r="O8" s="876"/>
      <c r="P8" s="646"/>
      <c r="Q8" s="876"/>
      <c r="R8" s="646"/>
      <c r="S8" s="876"/>
      <c r="T8" s="646"/>
      <c r="U8" s="876"/>
      <c r="V8" s="646"/>
      <c r="W8" s="876"/>
      <c r="X8" s="646"/>
      <c r="Y8" s="876"/>
      <c r="Z8" s="646"/>
      <c r="AA8" s="876"/>
      <c r="AB8" s="646"/>
      <c r="AC8" s="876"/>
      <c r="AD8" s="646"/>
      <c r="AE8" s="876"/>
      <c r="AF8" s="646"/>
      <c r="AG8" s="876"/>
      <c r="AH8" s="646"/>
      <c r="AI8" s="876"/>
      <c r="AJ8" s="646"/>
      <c r="AK8" s="876"/>
      <c r="AL8" s="646"/>
      <c r="AM8" s="876"/>
      <c r="AN8" s="646"/>
      <c r="AO8" s="876"/>
      <c r="AP8" s="646"/>
      <c r="AQ8" s="876"/>
      <c r="AT8" s="430">
        <v>1</v>
      </c>
      <c r="AU8" s="589" t="s">
        <v>10</v>
      </c>
      <c r="AV8" s="105" t="s">
        <v>333</v>
      </c>
      <c r="AW8" s="105" t="s">
        <v>99</v>
      </c>
      <c r="AX8" s="268"/>
      <c r="AY8" s="85" t="str">
        <f>IF(OR(ISBLANK(F8),ISBLANK(H8)),"N/A",IF(ABS(H8-F8)&gt;25,"&gt; 25%","ok"))</f>
        <v>N/A</v>
      </c>
      <c r="AZ8" s="268"/>
      <c r="BA8" s="85" t="str">
        <f>IF(OR(ISBLANK(H8),ISBLANK(J8)),"N/A",IF(ABS(J8-H8)&gt;25,"&gt; 25%","ok"))</f>
        <v>N/A</v>
      </c>
      <c r="BB8" s="85"/>
      <c r="BC8" s="85" t="str">
        <f>IF(OR(ISBLANK(J8),ISBLANK(L8)),"N/A",IF(ABS(L8-J8)&gt;25,"&gt; 25%","ok"))</f>
        <v>N/A</v>
      </c>
      <c r="BD8" s="85"/>
      <c r="BE8" s="85" t="str">
        <f>IF(OR(ISBLANK(L8),ISBLANK(N8)),"N/A",IF(ABS(N8-L8)&gt;25,"&gt; 25%","ok"))</f>
        <v>N/A</v>
      </c>
      <c r="BF8" s="85"/>
      <c r="BG8" s="85" t="str">
        <f>IF(OR(ISBLANK(N8),ISBLANK(P8)),"N/A",IF(ABS(P8-N8)&gt;25,"&gt; 25%","ok"))</f>
        <v>N/A</v>
      </c>
      <c r="BH8" s="85"/>
      <c r="BI8" s="85" t="str">
        <f>IF(OR(ISBLANK(P8),ISBLANK(R8)),"N/A",IF(ABS(R8-P8)&gt;25,"&gt; 25%","ok"))</f>
        <v>N/A</v>
      </c>
      <c r="BJ8" s="85"/>
      <c r="BK8" s="85" t="str">
        <f>IF(OR(ISBLANK(R8),ISBLANK(T8)),"N/A",IF(ABS(T8-R8)&gt;25,"&gt; 25%","ok"))</f>
        <v>N/A</v>
      </c>
      <c r="BL8" s="85"/>
      <c r="BM8" s="85" t="str">
        <f>IF(OR(ISBLANK(T8),ISBLANK(V8)),"N/A",IF(ABS(V8-T8)&gt;25,"&gt; 25%","ok"))</f>
        <v>N/A</v>
      </c>
      <c r="BN8" s="85"/>
      <c r="BO8" s="85" t="str">
        <f>IF(OR(ISBLANK(V8),ISBLANK(X8)),"N/A",IF(ABS(X8-V8)&gt;25,"&gt; 25%","ok"))</f>
        <v>N/A</v>
      </c>
      <c r="BP8" s="85"/>
      <c r="BQ8" s="85" t="str">
        <f>IF(OR(ISBLANK(X8),ISBLANK(Z8)),"N/A",IF(ABS(Z8-X8)&gt;25,"&gt; 25%","ok"))</f>
        <v>N/A</v>
      </c>
      <c r="BR8" s="85"/>
      <c r="BS8" s="85" t="str">
        <f>IF(OR(ISBLANK(Z8),ISBLANK(AB8)),"N/A",IF(ABS(AB8-Z8)&gt;25,"&gt; 25%","ok"))</f>
        <v>N/A</v>
      </c>
      <c r="BT8" s="85"/>
      <c r="BU8" s="85" t="str">
        <f>IF(OR(ISBLANK(AB8),ISBLANK(AD8)),"N/A",IF(ABS(AD8-AB8)&gt;25,"&gt; 25%","ok"))</f>
        <v>N/A</v>
      </c>
      <c r="BV8" s="85"/>
      <c r="BW8" s="85" t="str">
        <f>IF(OR(ISBLANK(AD8),ISBLANK(AF8)),"N/A",IF(ABS(AF8-AD8)&gt;25,"&gt; 25%","ok"))</f>
        <v>N/A</v>
      </c>
      <c r="BX8" s="85"/>
      <c r="BY8" s="85" t="str">
        <f>IF(OR(ISBLANK(AF8),ISBLANK(AH8)),"N/A",IF(ABS(AH8-AF8)&gt;25,"&gt; 25%","ok"))</f>
        <v>N/A</v>
      </c>
      <c r="BZ8" s="85"/>
      <c r="CA8" s="85" t="str">
        <f>IF(OR(ISBLANK(AH8),ISBLANK(AJ8)),"N/A",IF(ABS(AJ8-AH8)&gt;25,"&gt; 25%","ok"))</f>
        <v>N/A</v>
      </c>
      <c r="CB8" s="85"/>
      <c r="CC8" s="85" t="str">
        <f aca="true" t="shared" si="0" ref="CC8:CG12">IF(OR(ISBLANK(AJ8),ISBLANK(AL8)),"N/A",IF(ABS(AL8-AJ8)&gt;25,"&gt; 25%","ok"))</f>
        <v>N/A</v>
      </c>
      <c r="CD8" s="85"/>
      <c r="CE8" s="85" t="str">
        <f t="shared" si="0"/>
        <v>N/A</v>
      </c>
      <c r="CF8" s="85"/>
      <c r="CG8" s="85" t="str">
        <f t="shared" si="0"/>
        <v>N/A</v>
      </c>
      <c r="CH8" s="268"/>
    </row>
    <row r="9" spans="1:86" ht="36" customHeight="1">
      <c r="A9" s="198" t="s">
        <v>78</v>
      </c>
      <c r="B9" s="259">
        <v>164</v>
      </c>
      <c r="C9" s="404">
        <v>2</v>
      </c>
      <c r="D9" s="590" t="s">
        <v>11</v>
      </c>
      <c r="E9" s="262" t="s">
        <v>333</v>
      </c>
      <c r="F9" s="646"/>
      <c r="G9" s="876"/>
      <c r="H9" s="646"/>
      <c r="I9" s="876"/>
      <c r="J9" s="646"/>
      <c r="K9" s="876"/>
      <c r="L9" s="646"/>
      <c r="M9" s="876"/>
      <c r="N9" s="646"/>
      <c r="O9" s="876"/>
      <c r="P9" s="646"/>
      <c r="Q9" s="876"/>
      <c r="R9" s="646"/>
      <c r="S9" s="876"/>
      <c r="T9" s="646"/>
      <c r="U9" s="876"/>
      <c r="V9" s="646"/>
      <c r="W9" s="876"/>
      <c r="X9" s="646"/>
      <c r="Y9" s="876"/>
      <c r="Z9" s="646"/>
      <c r="AA9" s="876"/>
      <c r="AB9" s="646"/>
      <c r="AC9" s="876"/>
      <c r="AD9" s="646"/>
      <c r="AE9" s="876"/>
      <c r="AF9" s="646"/>
      <c r="AG9" s="876"/>
      <c r="AH9" s="646"/>
      <c r="AI9" s="876"/>
      <c r="AJ9" s="646"/>
      <c r="AK9" s="876"/>
      <c r="AL9" s="646"/>
      <c r="AM9" s="876"/>
      <c r="AN9" s="646"/>
      <c r="AO9" s="876"/>
      <c r="AP9" s="646"/>
      <c r="AQ9" s="876"/>
      <c r="AT9" s="408">
        <v>2</v>
      </c>
      <c r="AU9" s="591" t="s">
        <v>11</v>
      </c>
      <c r="AV9" s="105" t="s">
        <v>333</v>
      </c>
      <c r="AW9" s="105" t="s">
        <v>99</v>
      </c>
      <c r="AX9" s="268"/>
      <c r="AY9" s="85" t="str">
        <f>IF(OR(ISBLANK(F9),ISBLANK(H9)),"N/A",IF(ABS(H9-F9)&gt;25,"&gt; 25%","ok"))</f>
        <v>N/A</v>
      </c>
      <c r="AZ9" s="268"/>
      <c r="BA9" s="85" t="str">
        <f>IF(OR(ISBLANK(H9),ISBLANK(J9)),"N/A",IF(ABS(J9-H9)&gt;25,"&gt; 25%","ok"))</f>
        <v>N/A</v>
      </c>
      <c r="BB9" s="85"/>
      <c r="BC9" s="85" t="str">
        <f>IF(OR(ISBLANK(J9),ISBLANK(L9)),"N/A",IF(ABS(L9-J9)&gt;25,"&gt; 25%","ok"))</f>
        <v>N/A</v>
      </c>
      <c r="BD9" s="85"/>
      <c r="BE9" s="85" t="str">
        <f>IF(OR(ISBLANK(L9),ISBLANK(N9)),"N/A",IF(ABS(N9-L9)&gt;25,"&gt; 25%","ok"))</f>
        <v>N/A</v>
      </c>
      <c r="BF9" s="85"/>
      <c r="BG9" s="85" t="str">
        <f>IF(OR(ISBLANK(N9),ISBLANK(P9)),"N/A",IF(ABS(P9-N9)&gt;25,"&gt; 25%","ok"))</f>
        <v>N/A</v>
      </c>
      <c r="BH9" s="85"/>
      <c r="BI9" s="85" t="str">
        <f>IF(OR(ISBLANK(P9),ISBLANK(R9)),"N/A",IF(ABS(R9-P9)&gt;25,"&gt; 25%","ok"))</f>
        <v>N/A</v>
      </c>
      <c r="BJ9" s="85"/>
      <c r="BK9" s="85" t="str">
        <f>IF(OR(ISBLANK(R9),ISBLANK(T9)),"N/A",IF(ABS(T9-R9)&gt;25,"&gt; 25%","ok"))</f>
        <v>N/A</v>
      </c>
      <c r="BL9" s="85"/>
      <c r="BM9" s="85" t="str">
        <f>IF(OR(ISBLANK(T9),ISBLANK(V9)),"N/A",IF(ABS(V9-T9)&gt;25,"&gt; 25%","ok"))</f>
        <v>N/A</v>
      </c>
      <c r="BN9" s="85"/>
      <c r="BO9" s="85" t="str">
        <f>IF(OR(ISBLANK(V9),ISBLANK(X9)),"N/A",IF(ABS(X9-V9)&gt;25,"&gt; 25%","ok"))</f>
        <v>N/A</v>
      </c>
      <c r="BP9" s="85"/>
      <c r="BQ9" s="85" t="str">
        <f>IF(OR(ISBLANK(X9),ISBLANK(Z9)),"N/A",IF(ABS(Z9-X9)&gt;25,"&gt; 25%","ok"))</f>
        <v>N/A</v>
      </c>
      <c r="BR9" s="85"/>
      <c r="BS9" s="85" t="str">
        <f>IF(OR(ISBLANK(Z9),ISBLANK(AB9)),"N/A",IF(ABS(AB9-Z9)&gt;25,"&gt; 25%","ok"))</f>
        <v>N/A</v>
      </c>
      <c r="BT9" s="85"/>
      <c r="BU9" s="85" t="str">
        <f>IF(OR(ISBLANK(AB9),ISBLANK(AD9)),"N/A",IF(ABS(AD9-AB9)&gt;25,"&gt; 25%","ok"))</f>
        <v>N/A</v>
      </c>
      <c r="BV9" s="85"/>
      <c r="BW9" s="85" t="str">
        <f>IF(OR(ISBLANK(AD9),ISBLANK(AF9)),"N/A",IF(ABS(AF9-AD9)&gt;25,"&gt; 25%","ok"))</f>
        <v>N/A</v>
      </c>
      <c r="BX9" s="85"/>
      <c r="BY9" s="85" t="str">
        <f>IF(OR(ISBLANK(AF9),ISBLANK(AH9)),"N/A",IF(ABS(AH9-AF9)&gt;25,"&gt; 25%","ok"))</f>
        <v>N/A</v>
      </c>
      <c r="BZ9" s="85"/>
      <c r="CA9" s="85" t="str">
        <f>IF(OR(ISBLANK(AH9),ISBLANK(AJ9)),"N/A",IF(ABS(AJ9-AH9)&gt;25,"&gt; 25%","ok"))</f>
        <v>N/A</v>
      </c>
      <c r="CB9" s="85"/>
      <c r="CC9" s="85" t="str">
        <f t="shared" si="0"/>
        <v>N/A</v>
      </c>
      <c r="CD9" s="85"/>
      <c r="CE9" s="85" t="str">
        <f t="shared" si="0"/>
        <v>N/A</v>
      </c>
      <c r="CF9" s="85"/>
      <c r="CG9" s="85" t="str">
        <f t="shared" si="0"/>
        <v>N/A</v>
      </c>
      <c r="CH9" s="268"/>
    </row>
    <row r="10" spans="2:86" ht="36" customHeight="1">
      <c r="B10" s="259">
        <v>296</v>
      </c>
      <c r="C10" s="262">
        <v>3</v>
      </c>
      <c r="D10" s="592" t="s">
        <v>621</v>
      </c>
      <c r="E10" s="262" t="s">
        <v>333</v>
      </c>
      <c r="F10" s="640"/>
      <c r="G10" s="873"/>
      <c r="H10" s="640"/>
      <c r="I10" s="873"/>
      <c r="J10" s="640"/>
      <c r="K10" s="873"/>
      <c r="L10" s="640"/>
      <c r="M10" s="873"/>
      <c r="N10" s="640"/>
      <c r="O10" s="873"/>
      <c r="P10" s="640"/>
      <c r="Q10" s="873"/>
      <c r="R10" s="640"/>
      <c r="S10" s="873"/>
      <c r="T10" s="640"/>
      <c r="U10" s="873"/>
      <c r="V10" s="640"/>
      <c r="W10" s="873"/>
      <c r="X10" s="640"/>
      <c r="Y10" s="873"/>
      <c r="Z10" s="640"/>
      <c r="AA10" s="873"/>
      <c r="AB10" s="640"/>
      <c r="AC10" s="873"/>
      <c r="AD10" s="640"/>
      <c r="AE10" s="873"/>
      <c r="AF10" s="640"/>
      <c r="AG10" s="873"/>
      <c r="AH10" s="640"/>
      <c r="AI10" s="873"/>
      <c r="AJ10" s="640"/>
      <c r="AK10" s="873"/>
      <c r="AL10" s="640"/>
      <c r="AM10" s="873"/>
      <c r="AN10" s="640"/>
      <c r="AO10" s="873"/>
      <c r="AP10" s="640"/>
      <c r="AQ10" s="873"/>
      <c r="AT10" s="105">
        <v>3</v>
      </c>
      <c r="AU10" s="593" t="s">
        <v>621</v>
      </c>
      <c r="AV10" s="105" t="s">
        <v>333</v>
      </c>
      <c r="AW10" s="87" t="s">
        <v>99</v>
      </c>
      <c r="AX10" s="272"/>
      <c r="AY10" s="85" t="str">
        <f>IF(OR(ISBLANK(F10),ISBLANK(H10)),"N/A",IF(ABS(H10-F10)&gt;25,"&gt; 25%","ok"))</f>
        <v>N/A</v>
      </c>
      <c r="AZ10" s="272"/>
      <c r="BA10" s="85" t="str">
        <f>IF(OR(ISBLANK(H10),ISBLANK(J10)),"N/A",IF(ABS(J10-H10)&gt;25,"&gt; 25%","ok"))</f>
        <v>N/A</v>
      </c>
      <c r="BB10" s="85"/>
      <c r="BC10" s="85" t="str">
        <f>IF(OR(ISBLANK(J10),ISBLANK(L10)),"N/A",IF(ABS(L10-J10)&gt;25,"&gt; 25%","ok"))</f>
        <v>N/A</v>
      </c>
      <c r="BD10" s="85"/>
      <c r="BE10" s="85" t="str">
        <f>IF(OR(ISBLANK(L10),ISBLANK(N10)),"N/A",IF(ABS(N10-L10)&gt;25,"&gt; 25%","ok"))</f>
        <v>N/A</v>
      </c>
      <c r="BF10" s="85"/>
      <c r="BG10" s="85" t="str">
        <f>IF(OR(ISBLANK(N10),ISBLANK(P10)),"N/A",IF(ABS(P10-N10)&gt;25,"&gt; 25%","ok"))</f>
        <v>N/A</v>
      </c>
      <c r="BH10" s="85"/>
      <c r="BI10" s="85" t="str">
        <f>IF(OR(ISBLANK(P10),ISBLANK(R10)),"N/A",IF(ABS(R10-P10)&gt;25,"&gt; 25%","ok"))</f>
        <v>N/A</v>
      </c>
      <c r="BJ10" s="85"/>
      <c r="BK10" s="85" t="str">
        <f>IF(OR(ISBLANK(R10),ISBLANK(T10)),"N/A",IF(ABS(T10-R10)&gt;25,"&gt; 25%","ok"))</f>
        <v>N/A</v>
      </c>
      <c r="BL10" s="85"/>
      <c r="BM10" s="85" t="str">
        <f>IF(OR(ISBLANK(T10),ISBLANK(V10)),"N/A",IF(ABS(V10-T10)&gt;25,"&gt; 25%","ok"))</f>
        <v>N/A</v>
      </c>
      <c r="BN10" s="85"/>
      <c r="BO10" s="85" t="str">
        <f>IF(OR(ISBLANK(V10),ISBLANK(X10)),"N/A",IF(ABS(X10-V10)&gt;25,"&gt; 25%","ok"))</f>
        <v>N/A</v>
      </c>
      <c r="BP10" s="85"/>
      <c r="BQ10" s="85" t="str">
        <f>IF(OR(ISBLANK(X10),ISBLANK(Z10)),"N/A",IF(ABS(Z10-X10)&gt;25,"&gt; 25%","ok"))</f>
        <v>N/A</v>
      </c>
      <c r="BR10" s="85"/>
      <c r="BS10" s="85" t="str">
        <f>IF(OR(ISBLANK(Z10),ISBLANK(AB10)),"N/A",IF(ABS(AB10-Z10)&gt;25,"&gt; 25%","ok"))</f>
        <v>N/A</v>
      </c>
      <c r="BT10" s="85"/>
      <c r="BU10" s="85" t="str">
        <f>IF(OR(ISBLANK(AB10),ISBLANK(AD10)),"N/A",IF(ABS(AD10-AB10)&gt;25,"&gt; 25%","ok"))</f>
        <v>N/A</v>
      </c>
      <c r="BV10" s="85"/>
      <c r="BW10" s="85" t="str">
        <f>IF(OR(ISBLANK(AD10),ISBLANK(AF10)),"N/A",IF(ABS(AF10-AD10)&gt;25,"&gt; 25%","ok"))</f>
        <v>N/A</v>
      </c>
      <c r="BX10" s="85"/>
      <c r="BY10" s="85" t="str">
        <f>IF(OR(ISBLANK(AF10),ISBLANK(AH10)),"N/A",IF(ABS(AH10-AF10)&gt;25,"&gt; 25%","ok"))</f>
        <v>N/A</v>
      </c>
      <c r="BZ10" s="85"/>
      <c r="CA10" s="85" t="str">
        <f>IF(OR(ISBLANK(AH10),ISBLANK(AJ10)),"N/A",IF(ABS(AJ10-AH10)&gt;25,"&gt; 25%","ok"))</f>
        <v>N/A</v>
      </c>
      <c r="CB10" s="85"/>
      <c r="CC10" s="85" t="str">
        <f t="shared" si="0"/>
        <v>N/A</v>
      </c>
      <c r="CD10" s="85"/>
      <c r="CE10" s="85" t="str">
        <f t="shared" si="0"/>
        <v>N/A</v>
      </c>
      <c r="CF10" s="85"/>
      <c r="CG10" s="85" t="str">
        <f t="shared" si="0"/>
        <v>N/A</v>
      </c>
      <c r="CH10" s="272"/>
    </row>
    <row r="11" spans="2:86" ht="36" customHeight="1">
      <c r="B11" s="259">
        <v>165</v>
      </c>
      <c r="C11" s="279">
        <v>4</v>
      </c>
      <c r="D11" s="289" t="s">
        <v>130</v>
      </c>
      <c r="E11" s="262" t="s">
        <v>333</v>
      </c>
      <c r="F11" s="640"/>
      <c r="G11" s="873"/>
      <c r="H11" s="640"/>
      <c r="I11" s="873"/>
      <c r="J11" s="640"/>
      <c r="K11" s="873"/>
      <c r="L11" s="640"/>
      <c r="M11" s="873"/>
      <c r="N11" s="640"/>
      <c r="O11" s="873"/>
      <c r="P11" s="640"/>
      <c r="Q11" s="873"/>
      <c r="R11" s="640"/>
      <c r="S11" s="873"/>
      <c r="T11" s="640"/>
      <c r="U11" s="873"/>
      <c r="V11" s="640"/>
      <c r="W11" s="873"/>
      <c r="X11" s="640"/>
      <c r="Y11" s="873"/>
      <c r="Z11" s="640"/>
      <c r="AA11" s="873"/>
      <c r="AB11" s="640"/>
      <c r="AC11" s="873"/>
      <c r="AD11" s="640"/>
      <c r="AE11" s="873"/>
      <c r="AF11" s="640"/>
      <c r="AG11" s="873"/>
      <c r="AH11" s="640"/>
      <c r="AI11" s="873"/>
      <c r="AJ11" s="640"/>
      <c r="AK11" s="873"/>
      <c r="AL11" s="640"/>
      <c r="AM11" s="873"/>
      <c r="AN11" s="640"/>
      <c r="AO11" s="873"/>
      <c r="AP11" s="640"/>
      <c r="AQ11" s="873"/>
      <c r="AT11" s="87">
        <v>4</v>
      </c>
      <c r="AU11" s="290" t="s">
        <v>2</v>
      </c>
      <c r="AV11" s="105" t="s">
        <v>333</v>
      </c>
      <c r="AW11" s="87" t="s">
        <v>99</v>
      </c>
      <c r="AX11" s="272"/>
      <c r="AY11" s="85" t="str">
        <f>IF(OR(ISBLANK(F11),ISBLANK(H11)),"N/A",IF(ABS(H11-F11)&gt;25,"&gt; 25%","ok"))</f>
        <v>N/A</v>
      </c>
      <c r="AZ11" s="272"/>
      <c r="BA11" s="85" t="str">
        <f>IF(OR(ISBLANK(H11),ISBLANK(J11)),"N/A",IF(ABS(J11-H11)&gt;25,"&gt; 25%","ok"))</f>
        <v>N/A</v>
      </c>
      <c r="BB11" s="85"/>
      <c r="BC11" s="85" t="str">
        <f>IF(OR(ISBLANK(J11),ISBLANK(L11)),"N/A",IF(ABS(L11-J11)&gt;25,"&gt; 25%","ok"))</f>
        <v>N/A</v>
      </c>
      <c r="BD11" s="85"/>
      <c r="BE11" s="85" t="str">
        <f>IF(OR(ISBLANK(L11),ISBLANK(N11)),"N/A",IF(ABS(N11-L11)&gt;25,"&gt; 25%","ok"))</f>
        <v>N/A</v>
      </c>
      <c r="BF11" s="85"/>
      <c r="BG11" s="85" t="str">
        <f>IF(OR(ISBLANK(N11),ISBLANK(P11)),"N/A",IF(ABS(P11-N11)&gt;25,"&gt; 25%","ok"))</f>
        <v>N/A</v>
      </c>
      <c r="BH11" s="85"/>
      <c r="BI11" s="85" t="str">
        <f>IF(OR(ISBLANK(P11),ISBLANK(R11)),"N/A",IF(ABS(R11-P11)&gt;25,"&gt; 25%","ok"))</f>
        <v>N/A</v>
      </c>
      <c r="BJ11" s="85"/>
      <c r="BK11" s="85" t="str">
        <f>IF(OR(ISBLANK(R11),ISBLANK(T11)),"N/A",IF(ABS(T11-R11)&gt;25,"&gt; 25%","ok"))</f>
        <v>N/A</v>
      </c>
      <c r="BL11" s="85"/>
      <c r="BM11" s="85" t="str">
        <f>IF(OR(ISBLANK(T11),ISBLANK(V11)),"N/A",IF(ABS(V11-T11)&gt;25,"&gt; 25%","ok"))</f>
        <v>N/A</v>
      </c>
      <c r="BN11" s="85"/>
      <c r="BO11" s="85" t="str">
        <f>IF(OR(ISBLANK(V11),ISBLANK(X11)),"N/A",IF(ABS(X11-V11)&gt;25,"&gt; 25%","ok"))</f>
        <v>N/A</v>
      </c>
      <c r="BP11" s="85"/>
      <c r="BQ11" s="85" t="str">
        <f>IF(OR(ISBLANK(X11),ISBLANK(Z11)),"N/A",IF(ABS(Z11-X11)&gt;25,"&gt; 25%","ok"))</f>
        <v>N/A</v>
      </c>
      <c r="BR11" s="85"/>
      <c r="BS11" s="85" t="str">
        <f>IF(OR(ISBLANK(Z11),ISBLANK(AB11)),"N/A",IF(ABS(AB11-Z11)&gt;25,"&gt; 25%","ok"))</f>
        <v>N/A</v>
      </c>
      <c r="BT11" s="85"/>
      <c r="BU11" s="85" t="str">
        <f>IF(OR(ISBLANK(AB11),ISBLANK(AD11)),"N/A",IF(ABS(AD11-AB11)&gt;25,"&gt; 25%","ok"))</f>
        <v>N/A</v>
      </c>
      <c r="BV11" s="85"/>
      <c r="BW11" s="85" t="str">
        <f>IF(OR(ISBLANK(AD11),ISBLANK(AF11)),"N/A",IF(ABS(AF11-AD11)&gt;25,"&gt; 25%","ok"))</f>
        <v>N/A</v>
      </c>
      <c r="BX11" s="85"/>
      <c r="BY11" s="85" t="str">
        <f>IF(OR(ISBLANK(AF11),ISBLANK(AH11)),"N/A",IF(ABS(AH11-AF11)&gt;25,"&gt; 25%","ok"))</f>
        <v>N/A</v>
      </c>
      <c r="BZ11" s="85"/>
      <c r="CA11" s="85" t="str">
        <f>IF(OR(ISBLANK(AH11),ISBLANK(AJ11)),"N/A",IF(ABS(AJ11-AH11)&gt;25,"&gt; 25%","ok"))</f>
        <v>N/A</v>
      </c>
      <c r="CB11" s="85"/>
      <c r="CC11" s="85" t="str">
        <f t="shared" si="0"/>
        <v>N/A</v>
      </c>
      <c r="CD11" s="85"/>
      <c r="CE11" s="85" t="str">
        <f t="shared" si="0"/>
        <v>N/A</v>
      </c>
      <c r="CF11" s="85"/>
      <c r="CG11" s="85" t="str">
        <f t="shared" si="0"/>
        <v>N/A</v>
      </c>
      <c r="CH11" s="272"/>
    </row>
    <row r="12" spans="2:86" ht="36" customHeight="1">
      <c r="B12" s="259">
        <v>298</v>
      </c>
      <c r="C12" s="425">
        <v>5</v>
      </c>
      <c r="D12" s="293" t="s">
        <v>77</v>
      </c>
      <c r="E12" s="425" t="s">
        <v>333</v>
      </c>
      <c r="F12" s="653"/>
      <c r="G12" s="879"/>
      <c r="H12" s="653"/>
      <c r="I12" s="879"/>
      <c r="J12" s="653"/>
      <c r="K12" s="879"/>
      <c r="L12" s="653"/>
      <c r="M12" s="879"/>
      <c r="N12" s="653"/>
      <c r="O12" s="879"/>
      <c r="P12" s="653"/>
      <c r="Q12" s="879"/>
      <c r="R12" s="653"/>
      <c r="S12" s="879"/>
      <c r="T12" s="653"/>
      <c r="U12" s="879"/>
      <c r="V12" s="653"/>
      <c r="W12" s="879"/>
      <c r="X12" s="653"/>
      <c r="Y12" s="879"/>
      <c r="Z12" s="653"/>
      <c r="AA12" s="879"/>
      <c r="AB12" s="653"/>
      <c r="AC12" s="879"/>
      <c r="AD12" s="653"/>
      <c r="AE12" s="879"/>
      <c r="AF12" s="653"/>
      <c r="AG12" s="879"/>
      <c r="AH12" s="653"/>
      <c r="AI12" s="879"/>
      <c r="AJ12" s="653"/>
      <c r="AK12" s="879"/>
      <c r="AL12" s="653"/>
      <c r="AM12" s="879"/>
      <c r="AN12" s="653"/>
      <c r="AO12" s="879"/>
      <c r="AP12" s="653"/>
      <c r="AQ12" s="879"/>
      <c r="AT12" s="103">
        <v>5</v>
      </c>
      <c r="AU12" s="496" t="s">
        <v>77</v>
      </c>
      <c r="AV12" s="103" t="s">
        <v>333</v>
      </c>
      <c r="AW12" s="103" t="s">
        <v>99</v>
      </c>
      <c r="AX12" s="298"/>
      <c r="AY12" s="86" t="str">
        <f>IF(OR(ISBLANK(F12),ISBLANK(H12)),"N/A",IF(ABS(H12-F12)&gt;25,"&gt; 25%","ok"))</f>
        <v>N/A</v>
      </c>
      <c r="AZ12" s="298"/>
      <c r="BA12" s="86" t="str">
        <f>IF(OR(ISBLANK(H12),ISBLANK(J12)),"N/A",IF(ABS(J12-H12)&gt;25,"&gt; 25%","ok"))</f>
        <v>N/A</v>
      </c>
      <c r="BB12" s="86"/>
      <c r="BC12" s="86" t="str">
        <f>IF(OR(ISBLANK(J12),ISBLANK(L12)),"N/A",IF(ABS(L12-J12)&gt;25,"&gt; 25%","ok"))</f>
        <v>N/A</v>
      </c>
      <c r="BD12" s="86"/>
      <c r="BE12" s="86" t="str">
        <f>IF(OR(ISBLANK(L12),ISBLANK(N12)),"N/A",IF(ABS(N12-L12)&gt;25,"&gt; 25%","ok"))</f>
        <v>N/A</v>
      </c>
      <c r="BF12" s="86"/>
      <c r="BG12" s="86" t="str">
        <f>IF(OR(ISBLANK(N12),ISBLANK(P12)),"N/A",IF(ABS(P12-N12)&gt;25,"&gt; 25%","ok"))</f>
        <v>N/A</v>
      </c>
      <c r="BH12" s="86"/>
      <c r="BI12" s="86" t="str">
        <f>IF(OR(ISBLANK(P12),ISBLANK(R12)),"N/A",IF(ABS(R12-P12)&gt;25,"&gt; 25%","ok"))</f>
        <v>N/A</v>
      </c>
      <c r="BJ12" s="86"/>
      <c r="BK12" s="86" t="str">
        <f>IF(OR(ISBLANK(R12),ISBLANK(T12)),"N/A",IF(ABS(T12-R12)&gt;25,"&gt; 25%","ok"))</f>
        <v>N/A</v>
      </c>
      <c r="BL12" s="86"/>
      <c r="BM12" s="86" t="str">
        <f>IF(OR(ISBLANK(T12),ISBLANK(V12)),"N/A",IF(ABS(V12-T12)&gt;25,"&gt; 25%","ok"))</f>
        <v>N/A</v>
      </c>
      <c r="BN12" s="86"/>
      <c r="BO12" s="86" t="str">
        <f>IF(OR(ISBLANK(V12),ISBLANK(X12)),"N/A",IF(ABS(X12-V12)&gt;25,"&gt; 25%","ok"))</f>
        <v>N/A</v>
      </c>
      <c r="BP12" s="86"/>
      <c r="BQ12" s="86" t="str">
        <f>IF(OR(ISBLANK(X12),ISBLANK(Z12)),"N/A",IF(ABS(Z12-X12)&gt;25,"&gt; 25%","ok"))</f>
        <v>N/A</v>
      </c>
      <c r="BR12" s="86"/>
      <c r="BS12" s="86" t="str">
        <f>IF(OR(ISBLANK(Z12),ISBLANK(AB12)),"N/A",IF(ABS(AB12-Z12)&gt;25,"&gt; 25%","ok"))</f>
        <v>N/A</v>
      </c>
      <c r="BT12" s="86"/>
      <c r="BU12" s="86" t="str">
        <f>IF(OR(ISBLANK(AB12),ISBLANK(AD12)),"N/A",IF(ABS(AD12-AB12)&gt;25,"&gt; 25%","ok"))</f>
        <v>N/A</v>
      </c>
      <c r="BV12" s="86"/>
      <c r="BW12" s="86" t="str">
        <f>IF(OR(ISBLANK(AD12),ISBLANK(AF12)),"N/A",IF(ABS(AF12-AD12)&gt;25,"&gt; 25%","ok"))</f>
        <v>N/A</v>
      </c>
      <c r="BX12" s="86"/>
      <c r="BY12" s="86" t="str">
        <f>IF(OR(ISBLANK(AF12),ISBLANK(AH12)),"N/A",IF(ABS(AH12-AF12)&gt;25,"&gt; 25%","ok"))</f>
        <v>N/A</v>
      </c>
      <c r="BZ12" s="86"/>
      <c r="CA12" s="86" t="str">
        <f>IF(OR(ISBLANK(AH12),ISBLANK(AJ12)),"N/A",IF(ABS(AJ12-AH12)&gt;25,"&gt; 25%","ok"))</f>
        <v>N/A</v>
      </c>
      <c r="CB12" s="86"/>
      <c r="CC12" s="86" t="str">
        <f t="shared" si="0"/>
        <v>N/A</v>
      </c>
      <c r="CD12" s="86"/>
      <c r="CE12" s="86" t="str">
        <f t="shared" si="0"/>
        <v>N/A</v>
      </c>
      <c r="CF12" s="86"/>
      <c r="CG12" s="86" t="str">
        <f t="shared" si="0"/>
        <v>N/A</v>
      </c>
      <c r="CH12" s="298"/>
    </row>
    <row r="13" spans="3:34" ht="5.25" customHeight="1">
      <c r="C13" s="540"/>
      <c r="D13" s="226"/>
      <c r="E13" s="322"/>
      <c r="F13" s="226"/>
      <c r="G13" s="226"/>
      <c r="H13" s="226"/>
      <c r="I13" s="225"/>
      <c r="J13" s="317"/>
      <c r="K13" s="225"/>
      <c r="L13" s="317"/>
      <c r="M13" s="225"/>
      <c r="N13" s="317"/>
      <c r="O13" s="225"/>
      <c r="P13" s="317"/>
      <c r="Q13" s="225"/>
      <c r="R13" s="226"/>
      <c r="S13" s="225"/>
      <c r="T13" s="226"/>
      <c r="U13" s="225"/>
      <c r="V13" s="226"/>
      <c r="W13" s="225"/>
      <c r="X13" s="226"/>
      <c r="Y13" s="225"/>
      <c r="Z13" s="226"/>
      <c r="AA13" s="225"/>
      <c r="AB13" s="226"/>
      <c r="AC13" s="225"/>
      <c r="AD13" s="317"/>
      <c r="AE13" s="225"/>
      <c r="AF13" s="226"/>
      <c r="AG13" s="225"/>
      <c r="AH13" s="226"/>
    </row>
    <row r="14" spans="3:46" ht="12.75">
      <c r="C14" s="385" t="s">
        <v>363</v>
      </c>
      <c r="D14" s="296"/>
      <c r="E14" s="498"/>
      <c r="F14" s="385"/>
      <c r="G14" s="385"/>
      <c r="AT14" s="396" t="s">
        <v>54</v>
      </c>
    </row>
    <row r="15" spans="1:100" ht="25.5" customHeight="1">
      <c r="A15" s="307"/>
      <c r="B15" s="307"/>
      <c r="C15" s="305" t="s">
        <v>169</v>
      </c>
      <c r="D15" s="735" t="s">
        <v>170</v>
      </c>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594"/>
      <c r="AT15" s="253" t="s">
        <v>359</v>
      </c>
      <c r="AU15" s="253" t="s">
        <v>361</v>
      </c>
      <c r="AV15" s="253" t="s">
        <v>364</v>
      </c>
      <c r="AW15" s="253">
        <v>1990</v>
      </c>
      <c r="AX15" s="254"/>
      <c r="AY15" s="253">
        <v>1995</v>
      </c>
      <c r="AZ15" s="254"/>
      <c r="BA15" s="253">
        <v>1996</v>
      </c>
      <c r="BB15" s="254"/>
      <c r="BC15" s="253">
        <v>1997</v>
      </c>
      <c r="BD15" s="254"/>
      <c r="BE15" s="253">
        <v>1998</v>
      </c>
      <c r="BF15" s="254"/>
      <c r="BG15" s="253">
        <v>1999</v>
      </c>
      <c r="BH15" s="254"/>
      <c r="BI15" s="253">
        <v>2000</v>
      </c>
      <c r="BJ15" s="254"/>
      <c r="BK15" s="253">
        <v>2001</v>
      </c>
      <c r="BL15" s="254"/>
      <c r="BM15" s="253">
        <v>2002</v>
      </c>
      <c r="BN15" s="254"/>
      <c r="BO15" s="253">
        <v>2003</v>
      </c>
      <c r="BP15" s="254"/>
      <c r="BQ15" s="253">
        <v>2004</v>
      </c>
      <c r="BR15" s="254"/>
      <c r="BS15" s="253">
        <v>2005</v>
      </c>
      <c r="BT15" s="254"/>
      <c r="BU15" s="253">
        <v>2006</v>
      </c>
      <c r="BV15" s="254"/>
      <c r="BW15" s="253">
        <v>2007</v>
      </c>
      <c r="BX15" s="254"/>
      <c r="BY15" s="253">
        <v>2008</v>
      </c>
      <c r="BZ15" s="254"/>
      <c r="CA15" s="253">
        <v>2009</v>
      </c>
      <c r="CB15" s="254"/>
      <c r="CC15" s="253">
        <v>2010</v>
      </c>
      <c r="CD15" s="254"/>
      <c r="CE15" s="253">
        <v>2011</v>
      </c>
      <c r="CF15" s="254"/>
      <c r="CG15" s="253">
        <v>2012</v>
      </c>
      <c r="CH15" s="254"/>
      <c r="CI15" s="312"/>
      <c r="CJ15" s="312"/>
      <c r="CK15" s="312"/>
      <c r="CL15" s="312"/>
      <c r="CM15" s="312"/>
      <c r="CN15" s="312"/>
      <c r="CO15" s="312"/>
      <c r="CP15" s="312"/>
      <c r="CQ15" s="312"/>
      <c r="CR15" s="312"/>
      <c r="CS15" s="312"/>
      <c r="CT15" s="312"/>
      <c r="CU15" s="312"/>
      <c r="CV15" s="312"/>
    </row>
    <row r="16" spans="1:100" ht="25.5" customHeight="1">
      <c r="A16" s="307"/>
      <c r="B16" s="307"/>
      <c r="C16" s="305" t="s">
        <v>169</v>
      </c>
      <c r="D16" s="739" t="s">
        <v>131</v>
      </c>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c r="AR16" s="739"/>
      <c r="AS16" s="594"/>
      <c r="AT16" s="430">
        <v>1</v>
      </c>
      <c r="AU16" s="589" t="s">
        <v>10</v>
      </c>
      <c r="AV16" s="105" t="s">
        <v>333</v>
      </c>
      <c r="AW16" s="105">
        <f>F8</f>
        <v>0</v>
      </c>
      <c r="AX16" s="105"/>
      <c r="AY16" s="105">
        <f>H8</f>
        <v>0</v>
      </c>
      <c r="AZ16" s="105"/>
      <c r="BA16" s="105">
        <f>J8</f>
        <v>0</v>
      </c>
      <c r="BB16" s="105"/>
      <c r="BC16" s="105">
        <f>L8</f>
        <v>0</v>
      </c>
      <c r="BD16" s="105"/>
      <c r="BE16" s="105">
        <f>N8</f>
        <v>0</v>
      </c>
      <c r="BF16" s="105"/>
      <c r="BG16" s="105">
        <f>P8</f>
        <v>0</v>
      </c>
      <c r="BH16" s="105"/>
      <c r="BI16" s="105">
        <f>R8</f>
        <v>0</v>
      </c>
      <c r="BJ16" s="105"/>
      <c r="BK16" s="105">
        <f>T8</f>
        <v>0</v>
      </c>
      <c r="BL16" s="105"/>
      <c r="BM16" s="105">
        <f>V8</f>
        <v>0</v>
      </c>
      <c r="BN16" s="105"/>
      <c r="BO16" s="105">
        <f>X8</f>
        <v>0</v>
      </c>
      <c r="BP16" s="105"/>
      <c r="BQ16" s="105">
        <f>Z8</f>
        <v>0</v>
      </c>
      <c r="BR16" s="105"/>
      <c r="BS16" s="105">
        <f>AB8</f>
        <v>0</v>
      </c>
      <c r="BT16" s="105"/>
      <c r="BU16" s="105">
        <f>AD8</f>
        <v>0</v>
      </c>
      <c r="BV16" s="105"/>
      <c r="BW16" s="105">
        <f>AF8</f>
        <v>0</v>
      </c>
      <c r="BX16" s="105"/>
      <c r="BY16" s="105">
        <f>AH8</f>
        <v>0</v>
      </c>
      <c r="BZ16" s="105"/>
      <c r="CA16" s="105">
        <f>AJ8</f>
        <v>0</v>
      </c>
      <c r="CB16" s="268"/>
      <c r="CC16" s="105">
        <f>AL8</f>
        <v>0</v>
      </c>
      <c r="CD16" s="105"/>
      <c r="CE16" s="105">
        <f>AN8</f>
        <v>0</v>
      </c>
      <c r="CF16" s="105"/>
      <c r="CG16" s="105">
        <f>AP8</f>
        <v>0</v>
      </c>
      <c r="CH16" s="268"/>
      <c r="CI16" s="312"/>
      <c r="CJ16" s="312"/>
      <c r="CK16" s="312"/>
      <c r="CL16" s="312"/>
      <c r="CM16" s="312"/>
      <c r="CN16" s="312"/>
      <c r="CO16" s="312"/>
      <c r="CP16" s="312"/>
      <c r="CQ16" s="312"/>
      <c r="CR16" s="312"/>
      <c r="CS16" s="312"/>
      <c r="CT16" s="312"/>
      <c r="CU16" s="312"/>
      <c r="CV16" s="312"/>
    </row>
    <row r="17" spans="1:100" ht="18" customHeight="1">
      <c r="A17" s="307"/>
      <c r="B17" s="307"/>
      <c r="C17" s="305" t="s">
        <v>169</v>
      </c>
      <c r="D17" s="735" t="s">
        <v>632</v>
      </c>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594"/>
      <c r="AT17" s="408">
        <v>2</v>
      </c>
      <c r="AU17" s="591" t="s">
        <v>11</v>
      </c>
      <c r="AV17" s="105" t="s">
        <v>333</v>
      </c>
      <c r="AW17" s="105">
        <f>F9</f>
        <v>0</v>
      </c>
      <c r="AX17" s="105"/>
      <c r="AY17" s="105">
        <f>H9</f>
        <v>0</v>
      </c>
      <c r="AZ17" s="105"/>
      <c r="BA17" s="105">
        <f>J9</f>
        <v>0</v>
      </c>
      <c r="BB17" s="105"/>
      <c r="BC17" s="105">
        <f>L9</f>
        <v>0</v>
      </c>
      <c r="BD17" s="105"/>
      <c r="BE17" s="105">
        <f>N9</f>
        <v>0</v>
      </c>
      <c r="BF17" s="105"/>
      <c r="BG17" s="105">
        <f>P9</f>
        <v>0</v>
      </c>
      <c r="BH17" s="105"/>
      <c r="BI17" s="105">
        <f>R9</f>
        <v>0</v>
      </c>
      <c r="BJ17" s="105"/>
      <c r="BK17" s="105">
        <f>T9</f>
        <v>0</v>
      </c>
      <c r="BL17" s="105"/>
      <c r="BM17" s="105">
        <f>V9</f>
        <v>0</v>
      </c>
      <c r="BN17" s="105"/>
      <c r="BO17" s="105">
        <f>X9</f>
        <v>0</v>
      </c>
      <c r="BP17" s="105"/>
      <c r="BQ17" s="105">
        <f>Z9</f>
        <v>0</v>
      </c>
      <c r="BR17" s="105"/>
      <c r="BS17" s="105">
        <f>AB9</f>
        <v>0</v>
      </c>
      <c r="BT17" s="105"/>
      <c r="BU17" s="105">
        <f>AD9</f>
        <v>0</v>
      </c>
      <c r="BV17" s="105"/>
      <c r="BW17" s="105">
        <f>AF9</f>
        <v>0</v>
      </c>
      <c r="BX17" s="105"/>
      <c r="BY17" s="105">
        <f>AH9</f>
        <v>0</v>
      </c>
      <c r="BZ17" s="105"/>
      <c r="CA17" s="105">
        <f>AJ9</f>
        <v>0</v>
      </c>
      <c r="CB17" s="268"/>
      <c r="CC17" s="105">
        <f>AL9</f>
        <v>0</v>
      </c>
      <c r="CD17" s="105"/>
      <c r="CE17" s="105">
        <f>AN9</f>
        <v>0</v>
      </c>
      <c r="CF17" s="105"/>
      <c r="CG17" s="105">
        <f>AP9</f>
        <v>0</v>
      </c>
      <c r="CH17" s="268"/>
      <c r="CI17" s="312"/>
      <c r="CJ17" s="312"/>
      <c r="CK17" s="312"/>
      <c r="CL17" s="312"/>
      <c r="CM17" s="312"/>
      <c r="CN17" s="312"/>
      <c r="CO17" s="312"/>
      <c r="CP17" s="312"/>
      <c r="CQ17" s="312"/>
      <c r="CR17" s="312"/>
      <c r="CS17" s="312"/>
      <c r="CT17" s="312"/>
      <c r="CU17" s="312"/>
      <c r="CV17" s="312"/>
    </row>
    <row r="18" spans="1:86" s="220" customFormat="1" ht="16.5" customHeight="1">
      <c r="A18" s="198"/>
      <c r="B18" s="199"/>
      <c r="C18" s="432"/>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T18" s="314" t="s">
        <v>208</v>
      </c>
      <c r="AU18" s="311" t="s">
        <v>58</v>
      </c>
      <c r="AV18" s="105"/>
      <c r="AW18" s="105" t="str">
        <f>IF(OR(ISBLANK(F8),ISBLANK(F9)),"N/A",IF(AW16&gt;=AW17,"ok","&lt;&gt;"))</f>
        <v>N/A</v>
      </c>
      <c r="AX18" s="105"/>
      <c r="AY18" s="105" t="str">
        <f>IF(OR(ISBLANK(H8),ISBLANK(H9)),"N/A",IF(AY16&gt;=AY17,"ok","&lt;&gt;"))</f>
        <v>N/A</v>
      </c>
      <c r="AZ18" s="105"/>
      <c r="BA18" s="105" t="str">
        <f>IF(OR(ISBLANK(J8),ISBLANK(J9)),"N/A",IF(BA16&gt;=BA17,"ok","&lt;&gt;"))</f>
        <v>N/A</v>
      </c>
      <c r="BB18" s="105"/>
      <c r="BC18" s="105" t="str">
        <f>IF(OR(ISBLANK(L8),ISBLANK(L9)),"N/A",IF(BC16&gt;=BC17,"ok","&lt;&gt;"))</f>
        <v>N/A</v>
      </c>
      <c r="BD18" s="105"/>
      <c r="BE18" s="105" t="str">
        <f>IF(OR(ISBLANK(N8),ISBLANK(N9)),"N/A",IF(BE16&gt;=BE17,"ok","&lt;&gt;"))</f>
        <v>N/A</v>
      </c>
      <c r="BF18" s="105"/>
      <c r="BG18" s="105" t="str">
        <f>IF(OR(ISBLANK(P8),ISBLANK(P9)),"N/A",IF(BG16&gt;=BG17,"ok","&lt;&gt;"))</f>
        <v>N/A</v>
      </c>
      <c r="BH18" s="105"/>
      <c r="BI18" s="105" t="str">
        <f>IF(OR(ISBLANK(R8),ISBLANK(R9)),"N/A",IF(BI16&gt;=BI17,"ok","&lt;&gt;"))</f>
        <v>N/A</v>
      </c>
      <c r="BJ18" s="105"/>
      <c r="BK18" s="105" t="str">
        <f>IF(OR(ISBLANK(T8),ISBLANK(T9)),"N/A",IF(BK16&gt;=BK17,"ok","&lt;&gt;"))</f>
        <v>N/A</v>
      </c>
      <c r="BL18" s="105"/>
      <c r="BM18" s="105" t="str">
        <f>IF(OR(ISBLANK(V8),ISBLANK(V9)),"N/A",IF(BM16&gt;=BM17,"ok","&lt;&gt;"))</f>
        <v>N/A</v>
      </c>
      <c r="BN18" s="105"/>
      <c r="BO18" s="105" t="str">
        <f>IF(OR(ISBLANK(X8),ISBLANK(X9)),"N/A",IF(BO16&gt;=BO17,"ok","&lt;&gt;"))</f>
        <v>N/A</v>
      </c>
      <c r="BP18" s="105"/>
      <c r="BQ18" s="105" t="str">
        <f>IF(OR(ISBLANK(Z8),ISBLANK(Z9)),"N/A",IF(BQ16&gt;=BQ17,"ok","&lt;&gt;"))</f>
        <v>N/A</v>
      </c>
      <c r="BR18" s="105"/>
      <c r="BS18" s="105" t="str">
        <f>IF(OR(ISBLANK(AB8),ISBLANK(AB9)),"N/A",IF(BS16&gt;=BS17,"ok","&lt;&gt;"))</f>
        <v>N/A</v>
      </c>
      <c r="BT18" s="105"/>
      <c r="BU18" s="105" t="str">
        <f>IF(OR(ISBLANK(AD8),ISBLANK(AD9)),"N/A",IF(BU16&gt;=BU17,"ok","&lt;&gt;"))</f>
        <v>N/A</v>
      </c>
      <c r="BV18" s="105"/>
      <c r="BW18" s="105" t="str">
        <f>IF(OR(ISBLANK(AF8),ISBLANK(AF9)),"N/A",IF(BW16&gt;=BW17,"ok","&lt;&gt;"))</f>
        <v>N/A</v>
      </c>
      <c r="BX18" s="105"/>
      <c r="BY18" s="105" t="str">
        <f>IF(OR(ISBLANK(AH8),ISBLANK(AH9)),"N/A",IF(BY16&gt;=BY17,"ok","&lt;&gt;"))</f>
        <v>N/A</v>
      </c>
      <c r="BZ18" s="105"/>
      <c r="CA18" s="105" t="str">
        <f>IF(OR(ISBLANK(AJ8),ISBLANK(AJ9)),"N/A",IF(CA16&gt;=CA17,"ok","&lt;&gt;"))</f>
        <v>N/A</v>
      </c>
      <c r="CB18" s="268"/>
      <c r="CC18" s="105" t="str">
        <f>IF(OR(ISBLANK(AL8),ISBLANK(AL9)),"N/A",IF(CC16&gt;=CC17,"ok","&lt;&gt;"))</f>
        <v>N/A</v>
      </c>
      <c r="CD18" s="105"/>
      <c r="CE18" s="105" t="str">
        <f>IF(OR(ISBLANK(AN8),ISBLANK(AN9)),"N/A",IF(CE16&gt;=CE17,"ok","&lt;&gt;"))</f>
        <v>N/A</v>
      </c>
      <c r="CF18" s="105"/>
      <c r="CG18" s="105" t="str">
        <f>IF(OR(ISBLANK(AP8),ISBLANK(AP9)),"N/A",IF(CG16&gt;=CG17,"ok","&lt;&gt;"))</f>
        <v>N/A</v>
      </c>
      <c r="CH18" s="268"/>
    </row>
    <row r="19" spans="1:86" s="468" customFormat="1" ht="15.75">
      <c r="A19" s="467"/>
      <c r="B19" s="454">
        <v>1</v>
      </c>
      <c r="C19" s="331" t="s">
        <v>371</v>
      </c>
      <c r="D19" s="433"/>
      <c r="E19" s="331"/>
      <c r="F19" s="231"/>
      <c r="G19" s="231"/>
      <c r="H19" s="334"/>
      <c r="I19" s="335"/>
      <c r="J19" s="336"/>
      <c r="K19" s="335"/>
      <c r="L19" s="336"/>
      <c r="M19" s="335"/>
      <c r="N19" s="336"/>
      <c r="O19" s="335"/>
      <c r="P19" s="336"/>
      <c r="Q19" s="335"/>
      <c r="R19" s="334"/>
      <c r="S19" s="335"/>
      <c r="T19" s="334"/>
      <c r="U19" s="335"/>
      <c r="V19" s="334"/>
      <c r="W19" s="335"/>
      <c r="X19" s="334"/>
      <c r="Y19" s="335"/>
      <c r="Z19" s="334"/>
      <c r="AA19" s="434"/>
      <c r="AB19" s="334"/>
      <c r="AC19" s="335"/>
      <c r="AD19" s="336"/>
      <c r="AE19" s="335"/>
      <c r="AF19" s="334"/>
      <c r="AG19" s="335"/>
      <c r="AH19" s="334"/>
      <c r="AI19" s="335"/>
      <c r="AJ19" s="335"/>
      <c r="AK19" s="335"/>
      <c r="AL19" s="335"/>
      <c r="AM19" s="335"/>
      <c r="AN19" s="387"/>
      <c r="AO19" s="386"/>
      <c r="AP19" s="387"/>
      <c r="AQ19" s="386"/>
      <c r="AR19" s="474"/>
      <c r="AT19" s="105">
        <v>3</v>
      </c>
      <c r="AU19" s="593" t="s">
        <v>621</v>
      </c>
      <c r="AV19" s="105" t="s">
        <v>333</v>
      </c>
      <c r="AW19" s="105">
        <f>F10</f>
        <v>0</v>
      </c>
      <c r="AX19" s="105"/>
      <c r="AY19" s="105">
        <f>H10</f>
        <v>0</v>
      </c>
      <c r="AZ19" s="105"/>
      <c r="BA19" s="105">
        <f>J10</f>
        <v>0</v>
      </c>
      <c r="BB19" s="105"/>
      <c r="BC19" s="105">
        <f>L10</f>
        <v>0</v>
      </c>
      <c r="BD19" s="105"/>
      <c r="BE19" s="105">
        <f>N10</f>
        <v>0</v>
      </c>
      <c r="BF19" s="105"/>
      <c r="BG19" s="105">
        <f>P10</f>
        <v>0</v>
      </c>
      <c r="BH19" s="105"/>
      <c r="BI19" s="105">
        <f>R10</f>
        <v>0</v>
      </c>
      <c r="BJ19" s="105"/>
      <c r="BK19" s="105">
        <f>T10</f>
        <v>0</v>
      </c>
      <c r="BL19" s="105"/>
      <c r="BM19" s="105">
        <f>V10</f>
        <v>0</v>
      </c>
      <c r="BN19" s="105"/>
      <c r="BO19" s="105">
        <f>X10</f>
        <v>0</v>
      </c>
      <c r="BP19" s="105"/>
      <c r="BQ19" s="105">
        <f>Z10</f>
        <v>0</v>
      </c>
      <c r="BR19" s="105"/>
      <c r="BS19" s="105">
        <f>AB10</f>
        <v>0</v>
      </c>
      <c r="BT19" s="105"/>
      <c r="BU19" s="105">
        <f>AD10</f>
        <v>0</v>
      </c>
      <c r="BV19" s="105"/>
      <c r="BW19" s="105">
        <f>AF10</f>
        <v>0</v>
      </c>
      <c r="BX19" s="105"/>
      <c r="BY19" s="105">
        <f>AH10</f>
        <v>0</v>
      </c>
      <c r="BZ19" s="105"/>
      <c r="CA19" s="105">
        <f>AJ10</f>
        <v>0</v>
      </c>
      <c r="CB19" s="268"/>
      <c r="CC19" s="105">
        <f>AL10</f>
        <v>0</v>
      </c>
      <c r="CD19" s="105"/>
      <c r="CE19" s="105">
        <f>AN10</f>
        <v>0</v>
      </c>
      <c r="CF19" s="105"/>
      <c r="CG19" s="105">
        <f>AP10</f>
        <v>0</v>
      </c>
      <c r="CH19" s="268"/>
    </row>
    <row r="20" spans="3:86" ht="2.25" customHeight="1">
      <c r="C20" s="435"/>
      <c r="D20" s="435"/>
      <c r="E20" s="436"/>
      <c r="F20" s="373"/>
      <c r="G20" s="373"/>
      <c r="H20" s="369"/>
      <c r="I20" s="370"/>
      <c r="J20" s="371"/>
      <c r="K20" s="370"/>
      <c r="L20" s="371"/>
      <c r="M20" s="370"/>
      <c r="N20" s="371"/>
      <c r="O20" s="370"/>
      <c r="P20" s="371"/>
      <c r="Q20" s="370"/>
      <c r="R20" s="369"/>
      <c r="S20" s="370"/>
      <c r="T20" s="369"/>
      <c r="U20" s="370"/>
      <c r="V20" s="369"/>
      <c r="W20" s="370"/>
      <c r="X20" s="369"/>
      <c r="Y20" s="370"/>
      <c r="Z20" s="369"/>
      <c r="AA20" s="437"/>
      <c r="AB20" s="369"/>
      <c r="AC20" s="370"/>
      <c r="AD20" s="371"/>
      <c r="AE20" s="370"/>
      <c r="AF20" s="369"/>
      <c r="AG20" s="372"/>
      <c r="AH20" s="367"/>
      <c r="AI20" s="372"/>
      <c r="AJ20" s="372"/>
      <c r="AK20" s="372"/>
      <c r="AL20" s="372"/>
      <c r="AM20" s="372"/>
      <c r="AT20" s="408"/>
      <c r="AU20" s="595"/>
      <c r="AV20" s="105"/>
      <c r="AW20" s="105"/>
      <c r="AX20" s="268"/>
      <c r="AY20" s="85"/>
      <c r="AZ20" s="268"/>
      <c r="BA20" s="85"/>
      <c r="BB20" s="268"/>
      <c r="BC20" s="85"/>
      <c r="BD20" s="268"/>
      <c r="BE20" s="85"/>
      <c r="BF20" s="268"/>
      <c r="BG20" s="105"/>
      <c r="BH20" s="268"/>
      <c r="BI20" s="105"/>
      <c r="BJ20" s="268"/>
      <c r="BK20" s="105"/>
      <c r="BL20" s="268"/>
      <c r="BM20" s="105"/>
      <c r="BN20" s="268"/>
      <c r="BO20" s="105"/>
      <c r="BP20" s="268"/>
      <c r="BQ20" s="105"/>
      <c r="BR20" s="268"/>
      <c r="BS20" s="85"/>
      <c r="BT20" s="268"/>
      <c r="BU20" s="105"/>
      <c r="BV20" s="268"/>
      <c r="BW20" s="105"/>
      <c r="BX20" s="268"/>
      <c r="BY20" s="105"/>
      <c r="BZ20" s="268"/>
      <c r="CA20" s="105"/>
      <c r="CB20" s="268"/>
      <c r="CC20" s="105"/>
      <c r="CD20" s="268"/>
      <c r="CE20" s="105"/>
      <c r="CF20" s="268"/>
      <c r="CG20" s="105"/>
      <c r="CH20" s="268"/>
    </row>
    <row r="21" spans="3:86" ht="18" customHeight="1">
      <c r="C21" s="342" t="s">
        <v>366</v>
      </c>
      <c r="D21" s="517" t="s">
        <v>369</v>
      </c>
      <c r="E21" s="438"/>
      <c r="F21" s="439"/>
      <c r="G21" s="439"/>
      <c r="H21" s="440"/>
      <c r="I21" s="441"/>
      <c r="J21" s="442"/>
      <c r="K21" s="441"/>
      <c r="L21" s="442"/>
      <c r="M21" s="441"/>
      <c r="N21" s="442"/>
      <c r="O21" s="441"/>
      <c r="P21" s="442"/>
      <c r="Q21" s="441"/>
      <c r="R21" s="440"/>
      <c r="S21" s="441"/>
      <c r="T21" s="440"/>
      <c r="U21" s="441"/>
      <c r="V21" s="440"/>
      <c r="W21" s="441"/>
      <c r="X21" s="440"/>
      <c r="Y21" s="441"/>
      <c r="Z21" s="440"/>
      <c r="AA21" s="443"/>
      <c r="AB21" s="440"/>
      <c r="AC21" s="441"/>
      <c r="AD21" s="442"/>
      <c r="AE21" s="441"/>
      <c r="AF21" s="440"/>
      <c r="AG21" s="441"/>
      <c r="AH21" s="440"/>
      <c r="AI21" s="441"/>
      <c r="AJ21" s="441"/>
      <c r="AK21" s="441"/>
      <c r="AL21" s="441"/>
      <c r="AM21" s="441"/>
      <c r="AN21" s="440"/>
      <c r="AO21" s="441"/>
      <c r="AP21" s="440"/>
      <c r="AQ21" s="441"/>
      <c r="AR21" s="518"/>
      <c r="AT21" s="314" t="s">
        <v>208</v>
      </c>
      <c r="AU21" s="311" t="s">
        <v>57</v>
      </c>
      <c r="AV21" s="105"/>
      <c r="AW21" s="105" t="str">
        <f>IF(OR(ISBLANK(F10),ISBLANK(F9)),"N/A",IF(AW17&gt;=AW19,"ok","&lt;&gt;"))</f>
        <v>N/A</v>
      </c>
      <c r="AX21" s="105"/>
      <c r="AY21" s="105" t="str">
        <f>IF(OR(ISBLANK(H10),ISBLANK(H9)),"N/A",IF(AY17&gt;=AY19,"ok","&lt;&gt;"))</f>
        <v>N/A</v>
      </c>
      <c r="AZ21" s="105"/>
      <c r="BA21" s="105" t="str">
        <f>IF(OR(ISBLANK(J10),ISBLANK(J9)),"N/A",IF(BA17&gt;=BA19,"ok","&lt;&gt;"))</f>
        <v>N/A</v>
      </c>
      <c r="BB21" s="105"/>
      <c r="BC21" s="105" t="str">
        <f>IF(OR(ISBLANK(L10),ISBLANK(L9)),"N/A",IF(BC17&gt;=BC19,"ok","&lt;&gt;"))</f>
        <v>N/A</v>
      </c>
      <c r="BD21" s="105"/>
      <c r="BE21" s="105" t="str">
        <f>IF(OR(ISBLANK(N10),ISBLANK(N9)),"N/A",IF(BE17&gt;=BE19,"ok","&lt;&gt;"))</f>
        <v>N/A</v>
      </c>
      <c r="BF21" s="105"/>
      <c r="BG21" s="105" t="str">
        <f>IF(OR(ISBLANK(P10),ISBLANK(P9)),"N/A",IF(BG17&gt;=BG19,"ok","&lt;&gt;"))</f>
        <v>N/A</v>
      </c>
      <c r="BH21" s="105"/>
      <c r="BI21" s="105" t="str">
        <f>IF(OR(ISBLANK(R10),ISBLANK(R9)),"N/A",IF(BI17&gt;=BI19,"ok","&lt;&gt;"))</f>
        <v>N/A</v>
      </c>
      <c r="BJ21" s="105"/>
      <c r="BK21" s="105" t="str">
        <f>IF(OR(ISBLANK(T10),ISBLANK(T9)),"N/A",IF(BK17&gt;=BK19,"ok","&lt;&gt;"))</f>
        <v>N/A</v>
      </c>
      <c r="BL21" s="105"/>
      <c r="BM21" s="105" t="str">
        <f>IF(OR(ISBLANK(V10),ISBLANK(V9)),"N/A",IF(BM17&gt;=BM19,"ok","&lt;&gt;"))</f>
        <v>N/A</v>
      </c>
      <c r="BN21" s="105"/>
      <c r="BO21" s="105" t="str">
        <f>IF(OR(ISBLANK(X10),ISBLANK(X9)),"N/A",IF(BO17&gt;=BO19,"ok","&lt;&gt;"))</f>
        <v>N/A</v>
      </c>
      <c r="BP21" s="105"/>
      <c r="BQ21" s="105" t="str">
        <f>IF(OR(ISBLANK(Z10),ISBLANK(Z9)),"N/A",IF(BQ17&gt;=BQ19,"ok","&lt;&gt;"))</f>
        <v>N/A</v>
      </c>
      <c r="BR21" s="105"/>
      <c r="BS21" s="105" t="str">
        <f>IF(OR(ISBLANK(AB10),ISBLANK(AB9)),"N/A",IF(BS17&gt;=BS19,"ok","&lt;&gt;"))</f>
        <v>N/A</v>
      </c>
      <c r="BT21" s="105"/>
      <c r="BU21" s="105" t="str">
        <f>IF(OR(ISBLANK(AD10),ISBLANK(AD9)),"N/A",IF(BU17&gt;=BU19,"ok","&lt;&gt;"))</f>
        <v>N/A</v>
      </c>
      <c r="BV21" s="105"/>
      <c r="BW21" s="105" t="str">
        <f>IF(OR(ISBLANK(AF10),ISBLANK(AF9)),"N/A",IF(BW17&gt;=BW19,"ok","&lt;&gt;"))</f>
        <v>N/A</v>
      </c>
      <c r="BX21" s="105"/>
      <c r="BY21" s="105" t="str">
        <f>IF(OR(ISBLANK(AH10),ISBLANK(AH9)),"N/A",IF(BY17&gt;=BY19,"ok","&lt;&gt;"))</f>
        <v>N/A</v>
      </c>
      <c r="BZ21" s="105"/>
      <c r="CA21" s="105" t="str">
        <f>IF(OR(ISBLANK(AJ10),ISBLANK(AJ9)),"N/A",IF(CA17&gt;=CA19,"ok","&lt;&gt;"))</f>
        <v>N/A</v>
      </c>
      <c r="CB21" s="268"/>
      <c r="CC21" s="105" t="str">
        <f>IF(OR(ISBLANK(AL10),ISBLANK(AL9)),"N/A",IF(CC17&gt;=CC19,"ok","&lt;&gt;"))</f>
        <v>N/A</v>
      </c>
      <c r="CD21" s="105"/>
      <c r="CE21" s="105" t="str">
        <f>IF(OR(ISBLANK(AN10),ISBLANK(AN9)),"N/A",IF(CE17&gt;=CE19,"ok","&lt;&gt;"))</f>
        <v>N/A</v>
      </c>
      <c r="CF21" s="105"/>
      <c r="CG21" s="105" t="str">
        <f>IF(OR(ISBLANK(AP10),ISBLANK(AP9)),"N/A",IF(CG17&gt;=CG19,"ok","&lt;&gt;"))</f>
        <v>N/A</v>
      </c>
      <c r="CH21" s="268"/>
    </row>
    <row r="22" spans="3:86" ht="18" customHeight="1">
      <c r="C22" s="596"/>
      <c r="D22" s="736"/>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8"/>
      <c r="AT22" s="87">
        <v>5</v>
      </c>
      <c r="AU22" s="271" t="s">
        <v>77</v>
      </c>
      <c r="AV22" s="87" t="s">
        <v>333</v>
      </c>
      <c r="AW22" s="105">
        <f>F12</f>
        <v>0</v>
      </c>
      <c r="AX22" s="105"/>
      <c r="AY22" s="105">
        <f>H12</f>
        <v>0</v>
      </c>
      <c r="AZ22" s="105"/>
      <c r="BA22" s="105">
        <f>J12</f>
        <v>0</v>
      </c>
      <c r="BB22" s="105"/>
      <c r="BC22" s="105">
        <f>L12</f>
        <v>0</v>
      </c>
      <c r="BD22" s="105"/>
      <c r="BE22" s="105">
        <f>N12</f>
        <v>0</v>
      </c>
      <c r="BF22" s="105"/>
      <c r="BG22" s="105">
        <f>P12</f>
        <v>0</v>
      </c>
      <c r="BH22" s="105"/>
      <c r="BI22" s="105">
        <f>R12</f>
        <v>0</v>
      </c>
      <c r="BJ22" s="105"/>
      <c r="BK22" s="105">
        <f>T12</f>
        <v>0</v>
      </c>
      <c r="BL22" s="105"/>
      <c r="BM22" s="105">
        <f>V12</f>
        <v>0</v>
      </c>
      <c r="BN22" s="105"/>
      <c r="BO22" s="105">
        <f>X12</f>
        <v>0</v>
      </c>
      <c r="BP22" s="105"/>
      <c r="BQ22" s="105">
        <f>Z12</f>
        <v>0</v>
      </c>
      <c r="BR22" s="105"/>
      <c r="BS22" s="105">
        <f>AB12</f>
        <v>0</v>
      </c>
      <c r="BT22" s="105"/>
      <c r="BU22" s="105">
        <f>AD12</f>
        <v>0</v>
      </c>
      <c r="BV22" s="105"/>
      <c r="BW22" s="105">
        <f>AF12</f>
        <v>0</v>
      </c>
      <c r="BX22" s="105"/>
      <c r="BY22" s="105">
        <f>AH12</f>
        <v>0</v>
      </c>
      <c r="BZ22" s="105"/>
      <c r="CA22" s="105">
        <f>AJ12</f>
        <v>0</v>
      </c>
      <c r="CB22" s="268"/>
      <c r="CC22" s="105">
        <f>AL12</f>
        <v>0</v>
      </c>
      <c r="CD22" s="105"/>
      <c r="CE22" s="105">
        <f>AN12</f>
        <v>0</v>
      </c>
      <c r="CF22" s="105"/>
      <c r="CG22" s="105">
        <f>AP12</f>
        <v>0</v>
      </c>
      <c r="CH22" s="268"/>
    </row>
    <row r="23" spans="3:86" ht="18" customHeight="1">
      <c r="C23" s="596"/>
      <c r="D23" s="756"/>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8"/>
      <c r="AT23" s="343" t="s">
        <v>208</v>
      </c>
      <c r="AU23" s="344" t="s">
        <v>25</v>
      </c>
      <c r="AV23" s="103"/>
      <c r="AW23" s="103" t="str">
        <f>IF(OR(ISBLANK(F12),ISBLANK(F9),ISBLANK(F11)),"N/A",IF(AW22=100-F11-F9,"ok","&lt;&gt;"))</f>
        <v>N/A</v>
      </c>
      <c r="AX23" s="103"/>
      <c r="AY23" s="103" t="str">
        <f aca="true" t="shared" si="1" ref="AY23:CG23">IF(OR(ISBLANK(H12),ISBLANK(H9),ISBLANK(H11)),"N/A",IF(AY22=100-H11-H9,"ok","&lt;&gt;"))</f>
        <v>N/A</v>
      </c>
      <c r="AZ23" s="103"/>
      <c r="BA23" s="103" t="str">
        <f t="shared" si="1"/>
        <v>N/A</v>
      </c>
      <c r="BB23" s="103"/>
      <c r="BC23" s="103" t="str">
        <f t="shared" si="1"/>
        <v>N/A</v>
      </c>
      <c r="BD23" s="103"/>
      <c r="BE23" s="103" t="str">
        <f t="shared" si="1"/>
        <v>N/A</v>
      </c>
      <c r="BF23" s="103"/>
      <c r="BG23" s="103" t="str">
        <f t="shared" si="1"/>
        <v>N/A</v>
      </c>
      <c r="BH23" s="103"/>
      <c r="BI23" s="103" t="str">
        <f t="shared" si="1"/>
        <v>N/A</v>
      </c>
      <c r="BJ23" s="103"/>
      <c r="BK23" s="103" t="str">
        <f t="shared" si="1"/>
        <v>N/A</v>
      </c>
      <c r="BL23" s="103"/>
      <c r="BM23" s="103" t="str">
        <f t="shared" si="1"/>
        <v>N/A</v>
      </c>
      <c r="BN23" s="103"/>
      <c r="BO23" s="103" t="str">
        <f t="shared" si="1"/>
        <v>N/A</v>
      </c>
      <c r="BP23" s="103"/>
      <c r="BQ23" s="103" t="str">
        <f t="shared" si="1"/>
        <v>N/A</v>
      </c>
      <c r="BR23" s="103"/>
      <c r="BS23" s="103" t="str">
        <f t="shared" si="1"/>
        <v>N/A</v>
      </c>
      <c r="BT23" s="103"/>
      <c r="BU23" s="103" t="str">
        <f t="shared" si="1"/>
        <v>N/A</v>
      </c>
      <c r="BV23" s="103"/>
      <c r="BW23" s="103" t="str">
        <f t="shared" si="1"/>
        <v>N/A</v>
      </c>
      <c r="BX23" s="103"/>
      <c r="BY23" s="103" t="str">
        <f t="shared" si="1"/>
        <v>N/A</v>
      </c>
      <c r="BZ23" s="103"/>
      <c r="CA23" s="103" t="str">
        <f t="shared" si="1"/>
        <v>N/A</v>
      </c>
      <c r="CB23" s="103"/>
      <c r="CC23" s="103" t="str">
        <f t="shared" si="1"/>
        <v>N/A</v>
      </c>
      <c r="CD23" s="103"/>
      <c r="CE23" s="103" t="str">
        <f t="shared" si="1"/>
        <v>N/A</v>
      </c>
      <c r="CF23" s="103"/>
      <c r="CG23" s="103" t="str">
        <f t="shared" si="1"/>
        <v>N/A</v>
      </c>
      <c r="CH23" s="298"/>
    </row>
    <row r="24" spans="3:86" ht="18" customHeight="1">
      <c r="C24" s="596"/>
      <c r="D24" s="756"/>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8"/>
      <c r="AT24" s="345" t="s">
        <v>68</v>
      </c>
      <c r="AU24" s="346" t="s">
        <v>69</v>
      </c>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448"/>
      <c r="CC24" s="104"/>
      <c r="CD24" s="104"/>
      <c r="CE24" s="104"/>
      <c r="CF24" s="104"/>
      <c r="CG24" s="104"/>
      <c r="CH24" s="448"/>
    </row>
    <row r="25" spans="3:86" ht="18" customHeight="1">
      <c r="C25" s="596"/>
      <c r="D25" s="756"/>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8"/>
      <c r="AT25" s="345" t="s">
        <v>70</v>
      </c>
      <c r="AU25" s="346" t="s">
        <v>71</v>
      </c>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row>
    <row r="26" spans="3:86" ht="18" customHeight="1">
      <c r="C26" s="596"/>
      <c r="D26" s="756"/>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8"/>
      <c r="AT26" s="347" t="s">
        <v>73</v>
      </c>
      <c r="AU26" s="346" t="s">
        <v>75</v>
      </c>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row>
    <row r="27" spans="3:86" ht="18" customHeight="1">
      <c r="C27" s="596"/>
      <c r="D27" s="756"/>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8"/>
      <c r="AT27" s="347" t="s">
        <v>72</v>
      </c>
      <c r="AU27" s="346" t="s">
        <v>14</v>
      </c>
      <c r="AV27" s="104"/>
      <c r="AW27" s="104"/>
      <c r="AX27" s="448"/>
      <c r="AY27" s="122"/>
      <c r="AZ27" s="448"/>
      <c r="BA27" s="122"/>
      <c r="BB27" s="448"/>
      <c r="BC27" s="122"/>
      <c r="BD27" s="448"/>
      <c r="BE27" s="122"/>
      <c r="BF27" s="448"/>
      <c r="BG27" s="104"/>
      <c r="BH27" s="448"/>
      <c r="BI27" s="104"/>
      <c r="BJ27" s="448"/>
      <c r="BK27" s="104"/>
      <c r="BL27" s="448"/>
      <c r="BM27" s="104"/>
      <c r="BN27" s="448"/>
      <c r="BO27" s="104"/>
      <c r="BP27" s="448"/>
      <c r="BQ27" s="104"/>
      <c r="BR27" s="448"/>
      <c r="BS27" s="122"/>
      <c r="BT27" s="448"/>
      <c r="BU27" s="104"/>
      <c r="BV27" s="448"/>
      <c r="BW27" s="104"/>
      <c r="BX27" s="448"/>
      <c r="BY27" s="104"/>
      <c r="BZ27" s="448"/>
      <c r="CA27" s="104"/>
      <c r="CB27" s="448"/>
      <c r="CC27" s="104"/>
      <c r="CD27" s="448"/>
      <c r="CE27" s="104"/>
      <c r="CF27" s="448"/>
      <c r="CG27" s="104"/>
      <c r="CH27" s="448"/>
    </row>
    <row r="28" spans="3:86" ht="18" customHeight="1">
      <c r="C28" s="596"/>
      <c r="D28" s="756"/>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c r="AN28" s="757"/>
      <c r="AO28" s="757"/>
      <c r="AP28" s="757"/>
      <c r="AQ28" s="757"/>
      <c r="AR28" s="758"/>
      <c r="AV28" s="104"/>
      <c r="AW28" s="104"/>
      <c r="AX28" s="448"/>
      <c r="AY28" s="122"/>
      <c r="AZ28" s="448"/>
      <c r="BA28" s="122"/>
      <c r="BB28" s="448"/>
      <c r="BC28" s="122"/>
      <c r="BD28" s="448"/>
      <c r="BE28" s="122"/>
      <c r="BF28" s="448"/>
      <c r="BG28" s="104"/>
      <c r="BH28" s="448"/>
      <c r="BI28" s="104"/>
      <c r="BJ28" s="448"/>
      <c r="BK28" s="104"/>
      <c r="BL28" s="448"/>
      <c r="BM28" s="104"/>
      <c r="BN28" s="448"/>
      <c r="BO28" s="104"/>
      <c r="BP28" s="448"/>
      <c r="BQ28" s="104"/>
      <c r="BR28" s="448"/>
      <c r="BS28" s="122"/>
      <c r="BT28" s="448"/>
      <c r="BU28" s="104"/>
      <c r="BV28" s="448"/>
      <c r="BW28" s="104"/>
      <c r="BX28" s="448"/>
      <c r="BY28" s="104"/>
      <c r="BZ28" s="448"/>
      <c r="CA28" s="104"/>
      <c r="CB28" s="448"/>
      <c r="CC28" s="104"/>
      <c r="CD28" s="448"/>
      <c r="CE28" s="104"/>
      <c r="CF28" s="448"/>
      <c r="CG28" s="104"/>
      <c r="CH28" s="448"/>
    </row>
    <row r="29" spans="3:86" ht="18" customHeight="1">
      <c r="C29" s="596"/>
      <c r="D29" s="756"/>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757"/>
      <c r="AJ29" s="757"/>
      <c r="AK29" s="757"/>
      <c r="AL29" s="757"/>
      <c r="AM29" s="757"/>
      <c r="AN29" s="757"/>
      <c r="AO29" s="757"/>
      <c r="AP29" s="757"/>
      <c r="AQ29" s="757"/>
      <c r="AR29" s="758"/>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row>
    <row r="30" spans="3:86" ht="18" customHeight="1">
      <c r="C30" s="596"/>
      <c r="D30" s="756"/>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8"/>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row>
    <row r="31" spans="3:47" ht="18" customHeight="1">
      <c r="C31" s="596"/>
      <c r="D31" s="756"/>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757"/>
      <c r="AJ31" s="757"/>
      <c r="AK31" s="757"/>
      <c r="AL31" s="757"/>
      <c r="AM31" s="757"/>
      <c r="AN31" s="757"/>
      <c r="AO31" s="757"/>
      <c r="AP31" s="757"/>
      <c r="AQ31" s="757"/>
      <c r="AR31" s="758"/>
      <c r="AU31" s="348"/>
    </row>
    <row r="32" spans="3:44" ht="18" customHeight="1">
      <c r="C32" s="596"/>
      <c r="D32" s="756"/>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8"/>
    </row>
    <row r="33" spans="3:44" ht="18" customHeight="1">
      <c r="C33" s="596"/>
      <c r="D33" s="756"/>
      <c r="E33" s="757"/>
      <c r="F33" s="757"/>
      <c r="G33" s="757"/>
      <c r="H33" s="757"/>
      <c r="I33" s="757"/>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M33" s="757"/>
      <c r="AN33" s="757"/>
      <c r="AO33" s="757"/>
      <c r="AP33" s="757"/>
      <c r="AQ33" s="757"/>
      <c r="AR33" s="758"/>
    </row>
    <row r="34" spans="3:44" ht="18" customHeight="1">
      <c r="C34" s="596"/>
      <c r="D34" s="756"/>
      <c r="E34" s="757"/>
      <c r="F34" s="757"/>
      <c r="G34" s="757"/>
      <c r="H34" s="757"/>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c r="AQ34" s="757"/>
      <c r="AR34" s="758"/>
    </row>
    <row r="35" spans="3:44" ht="18" customHeight="1">
      <c r="C35" s="596"/>
      <c r="D35" s="756"/>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8"/>
    </row>
    <row r="36" spans="3:44" ht="18" customHeight="1">
      <c r="C36" s="596"/>
      <c r="D36" s="756"/>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757"/>
      <c r="AO36" s="757"/>
      <c r="AP36" s="757"/>
      <c r="AQ36" s="757"/>
      <c r="AR36" s="758"/>
    </row>
    <row r="37" spans="3:44" ht="18" customHeight="1">
      <c r="C37" s="596"/>
      <c r="D37" s="756"/>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757"/>
      <c r="AR37" s="758"/>
    </row>
    <row r="38" spans="3:44" ht="18" customHeight="1">
      <c r="C38" s="596"/>
      <c r="D38" s="756"/>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757"/>
      <c r="AR38" s="758"/>
    </row>
    <row r="39" spans="3:44" ht="18" customHeight="1">
      <c r="C39" s="596"/>
      <c r="D39" s="756"/>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8"/>
    </row>
    <row r="40" spans="3:44" ht="18" customHeight="1">
      <c r="C40" s="596"/>
      <c r="D40" s="756"/>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8"/>
    </row>
    <row r="41" spans="3:44" ht="18" customHeight="1">
      <c r="C41" s="596"/>
      <c r="D41" s="756"/>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8"/>
    </row>
    <row r="42" spans="3:44" ht="18" customHeight="1">
      <c r="C42" s="658"/>
      <c r="D42" s="756"/>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8"/>
    </row>
    <row r="43" spans="3:44" ht="18" customHeight="1">
      <c r="C43" s="656"/>
      <c r="D43" s="767"/>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9"/>
    </row>
    <row r="44" spans="1:86" s="312" customFormat="1" ht="10.5" customHeight="1">
      <c r="A44" s="520"/>
      <c r="B44" s="458"/>
      <c r="C44" s="468"/>
      <c r="D44" s="468"/>
      <c r="E44" s="211"/>
      <c r="F44" s="349"/>
      <c r="G44" s="349"/>
      <c r="H44" s="239"/>
      <c r="I44" s="240"/>
      <c r="J44" s="241"/>
      <c r="K44" s="240"/>
      <c r="L44" s="241"/>
      <c r="M44" s="240"/>
      <c r="N44" s="241"/>
      <c r="O44" s="240"/>
      <c r="P44" s="241"/>
      <c r="Q44" s="240"/>
      <c r="R44" s="239"/>
      <c r="S44" s="240"/>
      <c r="T44" s="239"/>
      <c r="U44" s="240"/>
      <c r="V44" s="239"/>
      <c r="W44" s="240"/>
      <c r="X44" s="239"/>
      <c r="Y44" s="240"/>
      <c r="Z44" s="239"/>
      <c r="AA44" s="521"/>
      <c r="AB44" s="239"/>
      <c r="AC44" s="240"/>
      <c r="AD44" s="241"/>
      <c r="AE44" s="240"/>
      <c r="AF44" s="239"/>
      <c r="AG44" s="240"/>
      <c r="AH44" s="239"/>
      <c r="AI44" s="372"/>
      <c r="AJ44" s="372"/>
      <c r="AK44" s="372"/>
      <c r="AL44" s="372"/>
      <c r="AM44" s="372"/>
      <c r="AN44" s="367"/>
      <c r="AO44" s="372"/>
      <c r="AP44" s="367"/>
      <c r="AQ44" s="372"/>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row>
    <row r="45" spans="3:7" ht="12.75">
      <c r="C45" s="235"/>
      <c r="D45" s="235"/>
      <c r="F45" s="349"/>
      <c r="G45" s="349"/>
    </row>
    <row r="46" spans="3:4" ht="12.75">
      <c r="C46" s="235"/>
      <c r="D46" s="235"/>
    </row>
    <row r="47" spans="3:4" ht="12.75">
      <c r="C47" s="235"/>
      <c r="D47" s="235"/>
    </row>
    <row r="48" spans="3:4" ht="12.75">
      <c r="C48" s="235"/>
      <c r="D48" s="235"/>
    </row>
    <row r="49" spans="3:4" ht="12.75">
      <c r="C49" s="235"/>
      <c r="D49" s="235"/>
    </row>
    <row r="50" spans="3:4" ht="12.75">
      <c r="C50" s="235"/>
      <c r="D50" s="235"/>
    </row>
    <row r="51" spans="3:4" ht="12.75">
      <c r="C51" s="235"/>
      <c r="D51" s="235"/>
    </row>
    <row r="52" spans="3:4" ht="12.75">
      <c r="C52" s="235"/>
      <c r="D52" s="235"/>
    </row>
    <row r="53" spans="3:4" ht="12.75">
      <c r="C53" s="235"/>
      <c r="D53" s="235"/>
    </row>
    <row r="54" spans="3:4" ht="12.75">
      <c r="C54" s="235"/>
      <c r="D54" s="235"/>
    </row>
    <row r="55" spans="3:4" ht="12.75">
      <c r="C55" s="235"/>
      <c r="D55" s="235"/>
    </row>
    <row r="56" spans="3:4" ht="12.75">
      <c r="C56" s="235"/>
      <c r="D56" s="235"/>
    </row>
    <row r="57" spans="3:4" ht="12.75">
      <c r="C57" s="235"/>
      <c r="D57" s="235"/>
    </row>
    <row r="58" spans="3:4" ht="12.75">
      <c r="C58" s="235"/>
      <c r="D58" s="235"/>
    </row>
    <row r="59" spans="3:4" ht="12.75">
      <c r="C59" s="235"/>
      <c r="D59" s="235"/>
    </row>
    <row r="60" spans="3:4" ht="12.75">
      <c r="C60" s="235"/>
      <c r="D60" s="235"/>
    </row>
    <row r="61" spans="3:4" ht="12.75">
      <c r="C61" s="235"/>
      <c r="D61" s="235"/>
    </row>
    <row r="62" spans="3:4" ht="12.75">
      <c r="C62" s="235"/>
      <c r="D62" s="235"/>
    </row>
    <row r="63" spans="3:4" ht="12.75">
      <c r="C63" s="235"/>
      <c r="D63" s="235"/>
    </row>
    <row r="64" spans="3:4" ht="12.75">
      <c r="C64" s="235"/>
      <c r="D64" s="235"/>
    </row>
    <row r="65" spans="3:4" ht="12.75">
      <c r="C65" s="235"/>
      <c r="D65" s="235"/>
    </row>
    <row r="66" spans="3:4" ht="12.75">
      <c r="C66" s="235"/>
      <c r="D66" s="235"/>
    </row>
    <row r="67" spans="3:4" ht="12.75">
      <c r="C67" s="235"/>
      <c r="D67" s="235"/>
    </row>
    <row r="68" spans="3:4" ht="12.75">
      <c r="C68" s="235"/>
      <c r="D68" s="235"/>
    </row>
    <row r="69" spans="3:4" ht="12.75">
      <c r="C69" s="235"/>
      <c r="D69" s="235"/>
    </row>
    <row r="70" spans="3:4" ht="12.75">
      <c r="C70" s="235"/>
      <c r="D70" s="235"/>
    </row>
    <row r="71" spans="3:4" ht="12.75">
      <c r="C71" s="235"/>
      <c r="D71" s="235"/>
    </row>
    <row r="72" spans="3:4" ht="12.75">
      <c r="C72" s="235"/>
      <c r="D72" s="235"/>
    </row>
    <row r="73" spans="3:4" ht="12.75">
      <c r="C73" s="235"/>
      <c r="D73" s="235"/>
    </row>
  </sheetData>
  <sheetProtection sheet="1" formatCells="0" formatColumns="0" formatRows="0" insertColumns="0" insertRows="0" insertHyperlinks="0"/>
  <mergeCells count="26">
    <mergeCell ref="D32:AR32"/>
    <mergeCell ref="D33:AR33"/>
    <mergeCell ref="C5:AH5"/>
    <mergeCell ref="D22:AR22"/>
    <mergeCell ref="D23:AR23"/>
    <mergeCell ref="D24:AR24"/>
    <mergeCell ref="D15:AR15"/>
    <mergeCell ref="D17:AR17"/>
    <mergeCell ref="D16:AR16"/>
    <mergeCell ref="D30:AR30"/>
    <mergeCell ref="D31:AR31"/>
    <mergeCell ref="D25:AR25"/>
    <mergeCell ref="D26:AR26"/>
    <mergeCell ref="D27:AR27"/>
    <mergeCell ref="D28:AR28"/>
    <mergeCell ref="D29:AR29"/>
    <mergeCell ref="D34:AR34"/>
    <mergeCell ref="D35:AR35"/>
    <mergeCell ref="D42:AR42"/>
    <mergeCell ref="D43:AR43"/>
    <mergeCell ref="D36:AR36"/>
    <mergeCell ref="D37:AR37"/>
    <mergeCell ref="D38:AR38"/>
    <mergeCell ref="D39:AR39"/>
    <mergeCell ref="D40:AR40"/>
    <mergeCell ref="D41:AR41"/>
  </mergeCells>
  <conditionalFormatting sqref="BM20 BK20 BI20 BG20 BW20 BY20 CA20 BU20 BQ20 BO20 AW20 CG20 CC20 CE20">
    <cfRule type="cellIs" priority="56" dxfId="227" operator="lessThan" stopIfTrue="1">
      <formula>AW21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priority="67" dxfId="227" operator="equal" stopIfTrue="1">
      <formula>"&lt;&gt;"</formula>
    </cfRule>
  </conditionalFormatting>
  <conditionalFormatting sqref="AY8:AY12 BA8:BA12 BC8:BC12 BE8:BE12 BG8:BG12 BI8:BI12 BK8:BK12 CG8:CG12 CE8:CE12 CC8:CC12 CA8:CA12 BY8:BY12 BW8:BW12 BU8:BU12 BS8:BS12 BQ8:BQ12 BM8:BM12 BO8:BO12">
    <cfRule type="cellIs" priority="70" dxfId="227" operator="equal" stopIfTrue="1">
      <formula>"&gt; 25%"</formula>
    </cfRule>
  </conditionalFormatting>
  <conditionalFormatting sqref="F12">
    <cfRule type="cellIs" priority="71" dxfId="227" operator="notEqual" stopIfTrue="1">
      <formula>100-F9-F11</formula>
    </cfRule>
  </conditionalFormatting>
  <conditionalFormatting sqref="V12">
    <cfRule type="cellIs" priority="18" dxfId="227" operator="notEqual" stopIfTrue="1">
      <formula>100-V9-V11</formula>
    </cfRule>
  </conditionalFormatting>
  <conditionalFormatting sqref="X12">
    <cfRule type="cellIs" priority="17" dxfId="227" operator="notEqual" stopIfTrue="1">
      <formula>100-X9-X11</formula>
    </cfRule>
  </conditionalFormatting>
  <conditionalFormatting sqref="Z12">
    <cfRule type="cellIs" priority="16" dxfId="227" operator="notEqual" stopIfTrue="1">
      <formula>100-Z9-Z11</formula>
    </cfRule>
  </conditionalFormatting>
  <conditionalFormatting sqref="AB12">
    <cfRule type="cellIs" priority="15" dxfId="227" operator="notEqual" stopIfTrue="1">
      <formula>100-AB9-AB11</formula>
    </cfRule>
  </conditionalFormatting>
  <conditionalFormatting sqref="AD12">
    <cfRule type="cellIs" priority="14" dxfId="227" operator="notEqual" stopIfTrue="1">
      <formula>100-AD9-AD11</formula>
    </cfRule>
  </conditionalFormatting>
  <conditionalFormatting sqref="AF12">
    <cfRule type="cellIs" priority="13" dxfId="227" operator="notEqual" stopIfTrue="1">
      <formula>100-AF9-AF11</formula>
    </cfRule>
  </conditionalFormatting>
  <conditionalFormatting sqref="AH12">
    <cfRule type="cellIs" priority="12" dxfId="227" operator="notEqual" stopIfTrue="1">
      <formula>100-AH9-AH11</formula>
    </cfRule>
  </conditionalFormatting>
  <conditionalFormatting sqref="AJ12">
    <cfRule type="cellIs" priority="11" dxfId="227" operator="notEqual" stopIfTrue="1">
      <formula>100-AJ9-AJ11</formula>
    </cfRule>
  </conditionalFormatting>
  <conditionalFormatting sqref="AL12">
    <cfRule type="cellIs" priority="10" dxfId="227" operator="notEqual" stopIfTrue="1">
      <formula>100-AL9-AL11</formula>
    </cfRule>
  </conditionalFormatting>
  <conditionalFormatting sqref="AN12">
    <cfRule type="cellIs" priority="9" dxfId="227" operator="notEqual" stopIfTrue="1">
      <formula>100-AN9-AN11</formula>
    </cfRule>
  </conditionalFormatting>
  <conditionalFormatting sqref="AP12">
    <cfRule type="cellIs" priority="8" dxfId="227" operator="notEqual" stopIfTrue="1">
      <formula>100-AP9-AP11</formula>
    </cfRule>
  </conditionalFormatting>
  <conditionalFormatting sqref="H12">
    <cfRule type="cellIs" priority="7" dxfId="227" operator="notEqual" stopIfTrue="1">
      <formula>100-H9-H11</formula>
    </cfRule>
  </conditionalFormatting>
  <conditionalFormatting sqref="J12">
    <cfRule type="cellIs" priority="6" dxfId="227" operator="notEqual" stopIfTrue="1">
      <formula>100-J9-J11</formula>
    </cfRule>
  </conditionalFormatting>
  <conditionalFormatting sqref="L12">
    <cfRule type="cellIs" priority="5" dxfId="227" operator="notEqual" stopIfTrue="1">
      <formula>100-L9-L11</formula>
    </cfRule>
  </conditionalFormatting>
  <conditionalFormatting sqref="N12">
    <cfRule type="cellIs" priority="4" dxfId="227" operator="notEqual" stopIfTrue="1">
      <formula>100-N9-N11</formula>
    </cfRule>
  </conditionalFormatting>
  <conditionalFormatting sqref="P12">
    <cfRule type="cellIs" priority="3" dxfId="227" operator="notEqual" stopIfTrue="1">
      <formula>100-P9-P11</formula>
    </cfRule>
  </conditionalFormatting>
  <conditionalFormatting sqref="R12">
    <cfRule type="cellIs" priority="2" dxfId="227" operator="notEqual" stopIfTrue="1">
      <formula>100-R9-R11</formula>
    </cfRule>
  </conditionalFormatting>
  <conditionalFormatting sqref="T12">
    <cfRule type="cellIs" priority="1" dxfId="227" operator="notEqual" stopIfTrue="1">
      <formula>100-T9-T11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Karen Cassamajor</cp:lastModifiedBy>
  <cp:lastPrinted>2014-03-13T22:42:59Z</cp:lastPrinted>
  <dcterms:created xsi:type="dcterms:W3CDTF">2001-01-18T18:38:40Z</dcterms:created>
  <dcterms:modified xsi:type="dcterms:W3CDTF">2014-03-25T16:13:46Z</dcterms:modified>
  <cp:category/>
  <cp:version/>
  <cp:contentType/>
  <cp:contentStatus/>
</cp:coreProperties>
</file>