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2795" windowHeight="7365" tabRatio="738" activeTab="0"/>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2">'Définitions'!$B$1:$D$63</definedName>
    <definedName name="_xlnm.Print_Area" localSheetId="3">'Diagramme'!$C$1:$X$34</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'W6'!$C$1:$AL$85</definedName>
    <definedName name="_xlnm.Print_Area" localSheetId="10">'W7'!$C$1:$AL$44</definedName>
    <definedName name="_xlnm.Print_Area" localSheetId="11">'W8'!$C$1:$P$24</definedName>
    <definedName name="_xlnm.Print_Titles" localSheetId="2">'Définitions'!$14:$15</definedName>
    <definedName name="_xlnm.Print_Titles" localSheetId="3">'Diagramme'!$1:$5</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Daniel</author>
  </authors>
  <commentList>
    <comment ref="D9" authorId="0">
      <text>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1" authorId="0">
      <text>
        <r>
          <rPr>
            <sz val="8"/>
            <rFont val="Tahoma"/>
            <family val="2"/>
          </rPr>
          <t>Volume quotidien moyen d’eaux usées qu’une station d’épuration ou une autre installation est conçue pour traiter.</t>
        </r>
      </text>
    </comment>
    <comment ref="D12" authorId="0">
      <text>
        <r>
          <rPr>
            <sz val="8"/>
            <rFont val="Tahoma"/>
            <family val="2"/>
          </rPr>
          <t>Quantité de substances aérobies que les stations d’épuration des eaux usées sont conçues pour traiter quotidiennement avec une certaine efficacité. En ce qui concerne les stations d’épuration secondaire, cette quantité est fonction dans la plupart des cas de la capacité d’oxygénation, c’est-à-dire de la quantité d’oxygène qui peut être introduite dans l’eau pour que la concentration d’oxygène s’y maintienne à un niveau satisfaisant.</t>
        </r>
      </text>
    </comment>
    <comment ref="D13" authorId="0">
      <text>
        <r>
          <rPr>
            <sz val="8"/>
            <rFont val="Tahoma"/>
            <family val="2"/>
          </rPr>
          <t>Volume quotidien moyen des eaux usées effectivement traité dans les stations d’épuration.</t>
        </r>
      </text>
    </comment>
    <comment ref="D14" authorId="0">
      <text>
        <r>
          <rPr>
            <sz val="8"/>
            <rFont val="Tahoma"/>
            <family val="2"/>
          </rPr>
          <t>Quantité moyenne de substances aérobies que les stations d’épuration des eaux usées traitent quotidiennement (avec une certaine efficacité). En ce qui concerne les stations d’épuration secondaire, la capacité nominale de traitement de ces substances est essentiellement fonction de la capacité d’oxygénation, c’est-à-dire de la quantité d’oxygène qui peut être introduite dans l’eau pour que la concentration de l’oxygène s’y maintienne à un niveau satisfaisant.</t>
        </r>
      </text>
    </comment>
    <comment ref="D15" authorId="0">
      <text>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1" authorId="1">
      <text>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53" authorId="0">
      <text>
        <r>
          <rPr>
            <sz val="8"/>
            <rFont val="Tahoma"/>
            <family val="2"/>
          </rPr>
          <t>Solides, humides ou mélangés à un élément liquide, que l’on a fait décanter au moyen de procédés naturels ou artificiels et que l’on a ainsi séparés de divers types d’eaux usées en cours d’épuration. Veuillez fournir des données sur le poids à sec de ces solides. Si vous ne disposez que de données sur le poids frais, veuillez les indiquer à la rubrique correspondante et le signaler dans une note de bas de page.</t>
        </r>
      </text>
    </comment>
  </commentList>
</comments>
</file>

<file path=xl/comments11.xml><?xml version="1.0" encoding="utf-8"?>
<comments xmlns="http://schemas.openxmlformats.org/spreadsheetml/2006/main">
  <authors>
    <author>User.Stat3</author>
  </authors>
  <commentList>
    <comment ref="D8" authorId="0">
      <text>
        <r>
          <rPr>
            <sz val="8"/>
            <rFont val="Tahoma"/>
            <family val="2"/>
          </rPr>
          <t>Pourcentage de la population raccordé aux systèmes de collecte des eaux usées (assainissement). Les systèmes de collecte peuvent soit acheminer les eaux usées aux usines de traitement, soit les déverser sans traitement dans l’environnement.</t>
        </r>
      </text>
    </comment>
    <comment ref="D9" authorId="0">
      <text>
        <r>
          <rPr>
            <sz val="8"/>
            <rFont val="Tahoma"/>
            <family val="2"/>
          </rPr>
          <t>Pourcentage de la population dont les eaux usées sont traitées dans une usine de traitement des eaux usées.</t>
        </r>
      </text>
    </comment>
    <comment ref="D11" authorId="0">
      <text>
        <r>
          <rPr>
            <sz val="8"/>
            <rFont val="Tahoma"/>
            <family val="2"/>
          </rPr>
          <t>Pourcentage de la population dont les eaux usées sont traitées dans des installations individuelles, souvent privées, telles que les fosses septiques.</t>
        </r>
      </text>
    </comment>
    <comment ref="D13" authorId="0">
      <text>
        <r>
          <rPr>
            <sz val="8"/>
            <rFont val="Tahoma"/>
            <family val="2"/>
          </rPr>
          <t>Pourcentage de la population résidente dont les eaux usées ne sont traitées ni en usines de traitement ni dans des installations indépendantes.</t>
        </r>
      </text>
    </comment>
  </commentList>
</comments>
</file>

<file path=xl/comments5.xml><?xml version="1.0" encoding="utf-8"?>
<comments xmlns="http://schemas.openxmlformats.org/spreadsheetml/2006/main">
  <authors>
    <author>Jeremy Webb</author>
  </authors>
  <commentList>
    <comment ref="D8" authorId="0">
      <text>
        <r>
          <rPr>
            <sz val="8"/>
            <rFont val="Tahoma"/>
            <family val="2"/>
          </rPr>
          <t>Volume total des précipitations atmosphériques humides (pluie, neige, grêle, rosée, etc.) tombées sur le territoire du pays en un an, en millions de mètres cubes (mio m3).</t>
        </r>
      </text>
    </comment>
    <comment ref="D9" authorId="0">
      <text>
        <r>
          <rPr>
            <sz val="8"/>
            <rFont val="Tahoma"/>
            <family val="2"/>
          </rPr>
          <t>Volume total de l’évaporation réelle des sols, des zones humides et des masses d’eau naturelles et de la transpiration des plantes. La définition de cette notion en hydrologie exclut l’évapotranspiration d’origine anthropique, à l’exception de celle due à l’agriculture non irriguée et à la sylviculture. L’évapotranspiration réelle est calculée au moyen de différents types de modèles mathématiques, allant d’algorithmes très simples (Budyko, Turn Pyke, etc.) à des schémas détaillés du cycle hydrologique.</t>
        </r>
      </text>
    </comment>
    <comment ref="D10" authorId="0">
      <text>
        <r>
          <rPr>
            <sz val="8"/>
            <rFont val="Tahoma"/>
            <family val="2"/>
          </rPr>
          <t>Volume total des eaux de ruissellement et des eaux souterraines créé naturellement en un an par les précipitations tombées sur le territoire national.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11" authorId="0">
      <text>
        <r>
          <rPr>
            <sz val="8"/>
            <rFont val="Tahoma"/>
            <family val="2"/>
          </rPr>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t>
        </r>
      </text>
    </comment>
    <comment ref="D12" authorId="0">
      <text>
        <r>
          <rPr>
            <sz val="8"/>
            <rFont val="Tahoma"/>
            <family val="2"/>
          </rPr>
          <t>Le volume des ressources renouvelables en eau douce est égal à la somme du flux interne et des apports externes d’eaux de surface et d’eaux souterraines.</t>
        </r>
      </text>
    </comment>
    <comment ref="D13" authorId="0">
      <text>
        <r>
          <rPr>
            <sz val="8"/>
            <rFont val="Tahoma"/>
            <family val="2"/>
          </rPr>
          <t>Volume réel de l’eau des cours d’eau et des eaux souterraines qui est déversée dans les pays voisins et/ou dans la mer.</t>
        </r>
      </text>
    </comment>
  </commentList>
</comments>
</file>

<file path=xl/comments6.xml><?xml version="1.0" encoding="utf-8"?>
<comments xmlns="http://schemas.openxmlformats.org/spreadsheetml/2006/main">
  <authors>
    <author>Jeremy Webb</author>
    <author>User.Stat3</author>
  </authors>
  <commentList>
    <comment ref="D9" authorId="0">
      <text>
        <r>
          <rPr>
            <sz val="8"/>
            <rFont val="Tahoma"/>
            <family val="2"/>
          </rPr>
          <t>Eau prélevée à une source de manière soit permanente, soit temporaire. Il s’agit de l’eau prélevée par les services d’alimentation en eau (CITI 36), de l’eau prélevée directement par les autres agents économiques et de l’eau restituée à l’environnement sans avoir été utilisée, telle que les eaux de mine et les eaux de drainage.</t>
        </r>
      </text>
    </comment>
    <comment ref="D11" authorId="1">
      <text>
        <r>
          <rPr>
            <b/>
            <sz val="8"/>
            <rFont val="Tahoma"/>
            <family val="0"/>
          </rPr>
          <t xml:space="preserve">Freshwater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t>
        </r>
      </text>
    </comment>
    <comment ref="D18" authorId="1">
      <text>
        <r>
          <rPr>
            <sz val="8"/>
            <rFont val="Tahoma"/>
            <family val="2"/>
          </rPr>
          <t>Eaux ruisselant ou stagnant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t>
        </r>
      </text>
    </comment>
    <comment ref="D27" authorId="1">
      <text>
        <r>
          <rPr>
            <sz val="8"/>
            <rFont val="Tahoma"/>
            <family val="2"/>
          </rPr>
          <t>Eau douce souterraine extraite du sous-sol, de manière soit permanente, soit temporaire. Doivent y être inclus les prélèvements effectués par les services d’alimentation en eau (division 36 de la CITI) et ceux effectués directement par d’autres agents économiques, ainsi que l’eau prélevée qui est restituée à l’environnement sans avoir été utilisée, telle que les eaux de mine et les eaux de drainage. Veuillez noter que l’alimentation artificielle ne doit pas en être déduite.</t>
        </r>
      </text>
    </comment>
  </commentList>
</comments>
</file>

<file path=xl/comments7.xml><?xml version="1.0" encoding="utf-8"?>
<comments xmlns="http://schemas.openxmlformats.org/spreadsheetml/2006/main">
  <authors>
    <author>Jeremy Webb</author>
    <author>Daniel</author>
  </authors>
  <commentList>
    <comment ref="D8" authorId="0">
      <text>
        <r>
          <rPr>
            <sz val="8"/>
            <rFont val="Tahoma"/>
            <family val="2"/>
          </rPr>
          <t>Eau prélevée à une source de manière soit permanente, soit temporaire. Il s’agit de l’eau prélevée par les services d’alimentation en eau (CITI 36), de l’eau prélevée directement par les autres agents économiques et de l’eau restituée à l’environnement sans avoir été utilisée, telle que les eaux de mine et les eaux de drainage.</t>
        </r>
      </text>
    </comment>
    <comment ref="D9" authorId="0">
      <text>
        <r>
          <rPr>
            <sz val="8"/>
            <rFont val="Tahoma"/>
            <family val="2"/>
          </rPr>
          <t>Eau déversée dans les eaux douces sans avoir été utilisée ou avant de l’avoir été, essentiellement dans le cadre d’activités minières et de construction. Elle ne comprend pas les déversements dans la mer.</t>
        </r>
      </text>
    </comment>
    <comment ref="D10" authorId="0">
      <text>
        <r>
          <rPr>
            <sz val="8"/>
            <rFont val="Tahoma"/>
            <family val="2"/>
          </rPr>
          <t>Ce volume est égal au volume brut d’eau douce prélevé diminué du volume des eaux restituées à l’environnement sans avoir été utilisées.</t>
        </r>
      </text>
    </comment>
    <comment ref="D11" authorId="0">
      <text>
        <r>
          <rPr>
            <sz val="8"/>
            <rFont val="Tahoma"/>
            <family val="2"/>
          </rPr>
          <t>Volume total d’eau obtenu par dessalement (élimination du sel) de l’eau de mer et des eaux saumâtres.</t>
        </r>
      </text>
    </comment>
    <comment ref="D12" authorId="0">
      <text>
        <r>
          <rPr>
            <sz val="8"/>
            <rFont val="Tahoma"/>
            <family val="2"/>
          </rPr>
          <t>Eau utilisée reçue directement d’un autre usager, épurée ou non. Elle ne comprend pas les eaux usées déversées dans les cours d’eau et utilisées à nouveau en aval. Elle ne comprend pas non plus les eaux recyclées dans des sites industriels.</t>
        </r>
      </text>
    </comment>
    <comment ref="D13" authorId="0">
      <text>
        <r>
          <rPr>
            <sz val="8"/>
            <rFont val="Tahoma"/>
            <family val="2"/>
          </rPr>
          <t>Eau douce importée d’autres pays en tant que matière première par pipeline, bateau ou camion. Elle ne comprend pas l’eau en bouteille.</t>
        </r>
      </text>
    </comment>
    <comment ref="D14" authorId="0">
      <text>
        <r>
          <rPr>
            <sz val="8"/>
            <rFont val="Tahoma"/>
            <family val="2"/>
          </rPr>
          <t>Eau douce exportée vers d’autres pays en tant que matière première par pipeline, bateau ou camion. Elle ne comprend pas l’eau en bouteille.</t>
        </r>
      </text>
    </comment>
    <comment ref="D15" authorId="0">
      <text>
        <r>
          <rPr>
            <b/>
            <sz val="8"/>
            <rFont val="Tahoma"/>
            <family val="0"/>
          </rPr>
          <t>Quantité totale d’eau douce disponible et utilisable:</t>
        </r>
        <r>
          <rPr>
            <sz val="8"/>
            <rFont val="Tahoma"/>
            <family val="0"/>
          </rPr>
          <t xml:space="preserve">
 = Volume net de l’eau douce prélevée + eau dessalée + eau réutilisée + eau importée - eau exportée.</t>
        </r>
      </text>
    </comment>
    <comment ref="D16" authorId="1">
      <text>
        <r>
          <rPr>
            <b/>
            <sz val="8"/>
            <rFont val="Tahoma"/>
            <family val="0"/>
          </rPr>
          <t>Pertes au cours du transport:</t>
        </r>
        <r>
          <rPr>
            <sz val="8"/>
            <rFont val="Tahoma"/>
            <family val="0"/>
          </rPr>
          <t xml:space="preserve">
Volume d’eau douce perdu à cause de fuites pendant le transport entre le lieu de prélèvement et le lieu d’utilisation et/ou entre le lieu d’utilisation et le lieu de réutilisation. Il ne comprend pas les pertes dues à l’exploitation et à l’utilisation illégales d’eau, qui doivent être comprises dans les chiffres du tableau W4 concernant l’utilisation de l’eau.</t>
        </r>
      </text>
    </comment>
    <comment ref="D17" authorId="1">
      <text>
        <r>
          <rPr>
            <b/>
            <sz val="8"/>
            <rFont val="Tahoma"/>
            <family val="0"/>
          </rPr>
          <t>Quantité totale d’eau douce utilisée:</t>
        </r>
        <r>
          <rPr>
            <sz val="8"/>
            <rFont val="Tahoma"/>
            <family val="0"/>
          </rPr>
          <t xml:space="preserve">
Concerne la quantité d’eau douce qui est effectivement utilisée en une année par les utilisateurs finals, y compris l’eau distribuée par les services d’approvisionnement en eau (Division 36 de la CITI), eau directement prélevée pour usage propre et eau reçue d’autres parties. À l’exclusion de l’eau douce retournée sans avoir été utilisée. </t>
        </r>
      </text>
    </comment>
  </commentList>
</comments>
</file>

<file path=xl/comments8.xml><?xml version="1.0" encoding="utf-8"?>
<comments xmlns="http://schemas.openxmlformats.org/spreadsheetml/2006/main">
  <authors>
    <author>Jeremy Webb</author>
    <author>Daniel</author>
  </authors>
  <commentList>
    <comment ref="D8" authorId="0">
      <text>
        <r>
          <rPr>
            <b/>
            <sz val="8"/>
            <rFont val="Tahoma"/>
            <family val="0"/>
          </rPr>
          <t xml:space="preserve">Quantité totale d’eau douce utilisée:
</t>
        </r>
        <r>
          <rPr>
            <sz val="8"/>
            <rFont val="Tahoma"/>
            <family val="2"/>
          </rPr>
          <t xml:space="preserve">Concerne la quantité d’eau douce qui est effectivement utilisée en une année par les utilisateurs finals, y compris l’eau distribuée par les services d’approvisionnement en eau (Division 36 de la CITI), eau directement prélevée pour usage propre et eau reçue d’autres parties. À l’exclusion de l’eau douce retournée sans avoir été utilisée. </t>
        </r>
      </text>
    </comment>
    <comment ref="D10" authorId="1">
      <text>
        <r>
          <rPr>
            <b/>
            <sz val="8"/>
            <rFont val="Tahoma"/>
            <family val="0"/>
          </rPr>
          <t>Ménages:</t>
        </r>
        <r>
          <rPr>
            <sz val="8"/>
            <rFont val="Tahoma"/>
            <family val="0"/>
          </rPr>
          <t xml:space="preserve">
Eau douce utilisée pour le fonctionnement normal des ménages (eau à boire, toilette et lessive). Peut inclure l’eau servant à arroser un potager domestique, mais pas l’eau servant à l’agriculture commerciale.</t>
        </r>
      </text>
    </comment>
    <comment ref="D12" authorId="0">
      <text>
        <r>
          <rPr>
            <sz val="8"/>
            <rFont val="Tahoma"/>
            <family val="2"/>
          </rPr>
          <t>Application artificielle d’eau dans le sol pour faciliter la croissance des cultures et des herbages.</t>
        </r>
      </text>
    </comment>
    <comment ref="D14" authorId="1">
      <text>
        <r>
          <rPr>
            <sz val="8"/>
            <rFont val="Tahoma"/>
            <family val="2"/>
          </rPr>
          <t>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Jeremy Webb</author>
  </authors>
  <commentList>
    <comment ref="D8" authorId="0">
      <text>
        <r>
          <rPr>
            <b/>
            <sz val="8"/>
            <rFont val="Tahoma"/>
            <family val="0"/>
          </rPr>
          <t xml:space="preserve">Quantité brute d’eau douce fournie par les services d’alimentation en eau (Division 36 de la CITI): </t>
        </r>
        <r>
          <rPr>
            <sz val="8"/>
            <rFont val="Tahoma"/>
            <family val="2"/>
          </rPr>
          <t>Volume d’eau fourni par les services d’alimentation en eau aux usagers, y compris les pertes survenant en cours de transport.</t>
        </r>
      </text>
    </comment>
    <comment ref="D9" authorId="1">
      <text>
        <r>
          <rPr>
            <sz val="8"/>
            <rFont val="Tahoma"/>
            <family val="2"/>
          </rPr>
          <t>Pertes en eau douce survenant pendant le transport entre le lieu de prélèvement et le lieu d’utilisation et entre le lieu d’utilisation et le lieu de réutilisation. Elles comprennent les fuites et l’évaporation mais ne comprennent pas l’exploitation et l’utilisation illégales de l’eau, qui doivent être incluses dans les chiffres du tableau W4 concernant l’utilisation.</t>
        </r>
      </text>
    </comment>
    <comment ref="D12" authorId="0">
      <text>
        <r>
          <rPr>
            <b/>
            <sz val="8"/>
            <rFont val="Tahoma"/>
            <family val="0"/>
          </rPr>
          <t xml:space="preserve">Quantité nette d’eau douce fournie par les services d’alimentation en eau (Division 36 de la CITI): </t>
        </r>
        <r>
          <rPr>
            <sz val="8"/>
            <rFont val="Tahoma"/>
            <family val="0"/>
          </rPr>
          <t>Volume brut d’eau douce fourni par les services d’alimentation en eau, diminué des pertes en eau douce survenant en cours de transport.</t>
        </r>
      </text>
    </comment>
    <comment ref="D20" authorId="0">
      <text>
        <r>
          <rPr>
            <sz val="8"/>
            <rFont val="Tahoma"/>
            <family val="0"/>
          </rPr>
          <t>Pourcentage de la population résidente raccordée à des installations d’alimentation en eau.</t>
        </r>
      </text>
    </comment>
  </commentList>
</comments>
</file>

<file path=xl/sharedStrings.xml><?xml version="1.0" encoding="utf-8"?>
<sst xmlns="http://schemas.openxmlformats.org/spreadsheetml/2006/main" count="1729" uniqueCount="727">
  <si>
    <r>
      <t>Traitement intervenant après un traitement secondaire de l’azote et/ou du phosphore et/ou de tout autre polluant retentissant sur la qualité ou un usage spécifique de l’eau : pollution microbiologique, couleur etc. Les différents rendements possible du traitement (« élimination de la pollution organique » de 95 % au moins pour la DOB</t>
    </r>
    <r>
      <rPr>
        <vertAlign val="subscript"/>
        <sz val="10"/>
        <rFont val="Arial"/>
        <family val="2"/>
      </rPr>
      <t>5</t>
    </r>
    <r>
      <rPr>
        <sz val="10"/>
        <rFont val="Arial"/>
        <family val="2"/>
      </rPr>
      <t>,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</si>
  <si>
    <t>Traitement indépendant des eaux usées</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</si>
  <si>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</si>
  <si>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Capacité nominale (volume)</t>
  </si>
  <si>
    <t>Volume quotidien moyen d’eaux usées qu’une station d’épuration ou une autre installation est conçue pour traiter.</t>
  </si>
  <si>
    <r>
      <t>Demande biochimique d’oxygène</t>
    </r>
    <r>
      <rPr>
        <vertAlign val="superscript"/>
        <sz val="10"/>
        <rFont val="Arial"/>
        <family val="2"/>
      </rPr>
      <t xml:space="preserve">                                                     </t>
    </r>
  </si>
  <si>
    <t>Quantité d’oxygène dissous nécessaire aux organismes vivants pour la décomposition aérobie des substances organiques présentes dans l’eau, mesurée à une température de 20 °C pendant une période de cinq jours. Elle renseigne sur le degré de pollution de l’eau par les substances organiques.</t>
  </si>
  <si>
    <t>Capacité nominale d’épuration des substances aérobies</t>
  </si>
  <si>
    <t>Quantité de substances aérobies que les stations d’épuration des eaux usées sont conçues pour traiter quotidiennement avec une certaine efficacité. En ce qui concerne les stations d’épuration secondaire, cette quantité est fonction dans la plupart des cas de la capacité d’oxygénation, c’est-à-dire de la quantité d’oxygène qui peut être introduite dans l’eau pour que la concentration d’oxygène s’y maintienne à un niveau satisfaisant.</t>
  </si>
  <si>
    <t>Volume réel d’eaux usées épurées</t>
  </si>
  <si>
    <t>Volume quotidien moyen des eaux usées effectivement traité dans les stations d’épuration.</t>
  </si>
  <si>
    <t>Quantité réelle de substances aérobies épurées</t>
  </si>
  <si>
    <t>Quantité moyenne de substances aérobies que les stations d’épuration des eaux usées traitent quotidiennement (avec une certaine efficacité). En ce qui concerne les stations d’épuration secondaire, la capacité nominale de traitement de ces substances est essentiellement fonction de la capacité d’oxygénation, c’est-à-dire de la quantité d’oxygène qui peut être introduite dans l’eau pour que la concentration de l’oxygène s’y maintienne à un niveau satisfaisant.</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</si>
  <si>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</si>
  <si>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</si>
  <si>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</si>
  <si>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Pourcentage de la population raccordé aux systèmes de collecte des eaux usées (assainissement). Les systèmes de collecte peuvent soit acheminer les eaux usées aux stations d'épuration, soit les déverser sans traitement dans l’environnement.</t>
  </si>
  <si>
    <t>Population raccordée au traitement des eaux usées</t>
  </si>
  <si>
    <t>Pourcentage de la population dont les eaux usées sont traitées dans une station d'épuration des eaux usées.</t>
  </si>
  <si>
    <t>Population dotée de moyens d’épuration des eaux usées indépendants (par exemple les fosses septiques)</t>
  </si>
  <si>
    <t>Pourcentage de la population dont les eaux usées sont traitées dans des installations individuelles, souvent privées, telles que les fosses septiques.</t>
  </si>
  <si>
    <t>Population non raccordée au traitement des eaux usées</t>
  </si>
  <si>
    <t>Pourcentage de la population résidente dont les eaux usées ne sont traitées ni dans les stations d'épuration ni dans les installations de traitement indépendantes.</t>
  </si>
  <si>
    <t>Eau douce</t>
  </si>
  <si>
    <t>L’eau douce est une eau qui ne contient que des quantités minimales de sels dissous, en particulier du chlorure de sodium, contrairement à l’eau de mer ou aux eaux saumâtres.</t>
  </si>
  <si>
    <t>Eau saumâtre</t>
  </si>
  <si>
    <t>Eau plus salée que l’eau douce et moins salée que l’eau de mer. Techniquement, elle contient entre 0,5 et 30 grammes de sel par litre mais elle a généralement  une concentration de sel dissous comprise entre 1 000 et 10 000 milligrammes par litre (mg/l).</t>
  </si>
  <si>
    <t>Eau de mer</t>
  </si>
  <si>
    <t>L’eau de mer est l’eau d’une mer ou d’un océan. En moyenne, l’eau des océans a une salinité d’environ 3,5 %, ce qui signifie que dans un litre d’eau de mer (1 000 millilitres), il y a 35 grammes de sel (composé pour l’essentiel, mais pas entièrement, de chlorure de sodium) dissous.</t>
  </si>
  <si>
    <t>Ce diagramme, mis au point par la Division de statistique de l’ONU, sert à démontrer les relations entre les variables des tableaux W1, W2, W3, et W4. Les personnes répondant au questionnaire sont encouragées à utiliser ces diagrammes, de manière à préciser les concepts sur lesquels reposent les données qui y sont demandées.</t>
  </si>
  <si>
    <t>Diagramme : récapitulatif des ressources en eau douce, des prélèvements, de la distribution et des utilisations d’eau douce.</t>
  </si>
  <si>
    <t xml:space="preserve">Pays: </t>
  </si>
  <si>
    <t>Institution à contacter:</t>
  </si>
  <si>
    <t>Tableau W1:  Ressources renouvelables en eau douce</t>
  </si>
  <si>
    <t>Choisir « Afficher » pour voir/rectifier les données des années précédentes</t>
  </si>
  <si>
    <t>Si la valeur passe au rouge, veuillez vérifier s’il n’y a aucune erreur.</t>
  </si>
  <si>
    <t>Ligne</t>
  </si>
  <si>
    <t>Catégorie</t>
  </si>
  <si>
    <t>Unité</t>
  </si>
  <si>
    <t>Moyenne annuelle à long terme</t>
  </si>
  <si>
    <r>
      <t>mio m</t>
    </r>
    <r>
      <rPr>
        <vertAlign val="superscript"/>
        <sz val="8"/>
        <rFont val="Arial"/>
        <family val="2"/>
      </rPr>
      <t>3</t>
    </r>
    <r>
      <rPr>
        <sz val="8"/>
        <rFont val="Arial"/>
        <family val="2"/>
      </rPr>
      <t>/an</t>
    </r>
  </si>
  <si>
    <t>Flux interne (=1-2)</t>
  </si>
  <si>
    <t>Apport externe d’eaux de surface 
et d’eaux souterraines</t>
  </si>
  <si>
    <t>Ressources renouvelables en eau douce (=3 + 4)</t>
  </si>
  <si>
    <t>Flux sortants d’eaux de surface 
et d’eaux souterraines</t>
  </si>
  <si>
    <t xml:space="preserve">Note :  </t>
  </si>
  <si>
    <t>Les chiffres des précipitations doivent être calculés à partir de mesures représentatives des précipitations effectuées dans l’ensemble du pays et donc dans ses différentes zones climatiques.</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</si>
  <si>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</si>
  <si>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</si>
  <si>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Les données des années 1996-1999 sont également visibles et peuvent être rectifiées : mettre en surbrillance les colonnes E à T, cliquer sur le bouton droit de la souris et choisir « Afficher ».</t>
  </si>
  <si>
    <t>Notes de bas de page</t>
  </si>
  <si>
    <t>Texte de la note de bas de page</t>
  </si>
  <si>
    <t>VALIDATION DES DONNÉES</t>
  </si>
  <si>
    <t>Les valeurs qui n’ont pas été validées par des techniques de vérification comme celles ci-dessous ne peuvent être incluses dans la base de données Envstats de la Division de statistique et les produits en diffusion s’il n’est pas donné dans les notes d’explications suffisantes.</t>
  </si>
  <si>
    <t>Si des explications ont déjà été fournies dans les notes, les alertes de validation correspondantes peuvent être ignorées.</t>
  </si>
  <si>
    <r>
      <t xml:space="preserve">Validation des séries chronologiques : </t>
    </r>
    <r>
      <rPr>
        <sz val="10"/>
        <color indexed="18"/>
        <rFont val="Arial"/>
        <family val="2"/>
      </rPr>
      <t>vérification automatique de l’évolution du pourcentage par rapport à l’année précédente (quand ces valeurs sont disponibles). Les cas où le changement n’est pas compris dans la fourchette attendue sont signalés par une alerte.</t>
    </r>
  </si>
  <si>
    <r>
      <t xml:space="preserve">Validation de cohérence : </t>
    </r>
    <r>
      <rPr>
        <sz val="10"/>
        <color indexed="18"/>
        <rFont val="Arial"/>
        <family val="2"/>
      </rPr>
      <t>vérification de cohérence entre variables comprises dans le questionnaire ou par comparaison avec des données de source extérieure. Les cas où la valeur n’est pas comprise dans la fourchette attendue sont signalés par une alerte.</t>
    </r>
  </si>
  <si>
    <t xml:space="preserve">Pays:  </t>
  </si>
  <si>
    <t>Tableau W2: Prélèvements d’eau douce</t>
  </si>
  <si>
    <t>Volume d’eau douce prélevé</t>
  </si>
  <si>
    <t>Volume brut d’eau douce prélevé (= 11 + 21)  
(=2+3+4+5+6+7) (=W3,1)</t>
  </si>
  <si>
    <t>Dont prélevés par :</t>
  </si>
  <si>
    <t>Services d’alimentation en eau (CITI 36) (=12+22)</t>
  </si>
  <si>
    <t>Ménages (=13+23)</t>
  </si>
  <si>
    <t>Agriculture, sylviculture et pêche (divisions 01 à 03 de la CITI) (=14+24)</t>
  </si>
  <si>
    <t>Industrie (divisions 10 à 33 de la CITI) (=15+25)</t>
  </si>
  <si>
    <t>Industrie électrique (division 351 de la CITI) (=16+26)</t>
  </si>
  <si>
    <t>Autres activités ou agents économiques  (=17+27)</t>
  </si>
  <si>
    <t>Volume d’eaux de surface prélevé</t>
  </si>
  <si>
    <t>Volume brut d’eau douce de surface prélevé 
(=12+13+14+15+16+17)</t>
  </si>
  <si>
    <t xml:space="preserve"> Ménages</t>
  </si>
  <si>
    <t>Agriculture, sylviculture et pêche (divisions 01 à 03 de la CITI)</t>
  </si>
  <si>
    <t>Industrie (divisions 10 à 33 de la CITI)</t>
  </si>
  <si>
    <t>Industrie électrique (division 351 de la CITI)</t>
  </si>
  <si>
    <t>Autres activités ou agents économiques</t>
  </si>
  <si>
    <t>Volume d’eaux souterraines prélevé</t>
  </si>
  <si>
    <t>Ménages</t>
  </si>
  <si>
    <t>Industrie électrique (division 351 de la  CITI)</t>
  </si>
  <si>
    <t>Le présent tableau traite du volume d’eau prélevé sur les masses d’eau (cours d’eau, lacs, eaux souterraines, etc.) par les différentes entités effectuant les prélèvements.</t>
  </si>
  <si>
    <t>L’eau servant à la production hydroélectrique (l’eau retenue derrière un barrage, par ex.) est à exclure.</t>
  </si>
  <si>
    <r>
      <t xml:space="preserve">Validation des séries chronologiques : </t>
    </r>
    <r>
      <rPr>
        <sz val="10"/>
        <color indexed="62"/>
        <rFont val="Arial"/>
        <family val="2"/>
      </rPr>
      <t>vérification automatique de l’évolution du pourcentage par rapport à l’année précédente (quand ces valeurs sont disponibles). Les cas où le changement n’est pas compris dans la fourchette attendue sont signalés par une alerte.</t>
    </r>
  </si>
  <si>
    <r>
      <t xml:space="preserve">Validation de cohérence : </t>
    </r>
    <r>
      <rPr>
        <sz val="10"/>
        <color indexed="62"/>
        <rFont val="Arial"/>
        <family val="2"/>
      </rPr>
      <t>vérification de cohérence entre variables comprises dans le questionnaire ou par comparaison avec des données de source extérieure. Les cas où la valeur n’est pas comprise dans la fourchette attendue sont signalés par une alerte.</t>
    </r>
  </si>
  <si>
    <t>Volume brut d’eau douce prélevé (= W2,1)</t>
  </si>
  <si>
    <t>Eaux restituées à l’environnement sans avoir été utilisées</t>
  </si>
  <si>
    <t>Volume net d’eau douce prélevé (=1-2)</t>
  </si>
  <si>
    <t>Quantité totale d’eau douce disponible et utilisable (=3+4+5+6-7)</t>
  </si>
  <si>
    <t>Quantité totale d’eau douce utilisée (=8-9) (=W4,1)</t>
  </si>
  <si>
    <t xml:space="preserve">Note: </t>
  </si>
  <si>
    <t>Le volume brut d’eau douce prélevé est le volume d’eau prélevé à une source, de manière soit permanente, soit temporaire. Il comprend les eaux prélevées par les services d’alimentation en eau (division 36 de la CITI), celles prélevées directement par d’autres agents économiques et celles qui sont restituées à l’environnement sans avoir été utilisées, telles que les eaux de mine et les eaux de drainage.</t>
  </si>
  <si>
    <t>Les eaux restituées à l’environnement sans avoir été utilisées sont les eaux qui sont déversées dans les eaux douces sans avoir été utilisées ou avant de l’avoir été, essentiellement dans le cadre d’activités minières et de construction. Leur déversement dans la mer n’est pas à prendre en considération.</t>
  </si>
  <si>
    <t>Les pertes au cours du transport comprennent l’évaporation et doivent être supérieures ou égales à la ligne 2 du tableau W5 (qui ne concerne que la Division 36 de la CITI).</t>
  </si>
  <si>
    <t>Tableau W4: Volume total d’eau utilisé</t>
  </si>
  <si>
    <r>
      <t xml:space="preserve">Quantité totale d’eau douce utilisée </t>
    </r>
    <r>
      <rPr>
        <sz val="8"/>
        <rFont val="Arial"/>
        <family val="2"/>
      </rPr>
      <t>(=2+3+5+6+7) (=W3,10)</t>
    </r>
  </si>
  <si>
    <t>Dont : volume d’eau douce utilisé par agent ou activité économique:</t>
  </si>
  <si>
    <t xml:space="preserve">Ménages </t>
  </si>
  <si>
    <t>Agriculture, sylviculture et pêche 
(divisions 01 à 03 de la CITI)</t>
  </si>
  <si>
    <t>Dont : irrigation agricole</t>
  </si>
  <si>
    <t>Industrie 
 (divisions 10 à 33 de la CITI)</t>
  </si>
  <si>
    <t>Industrie électrique
 (division 351 de la CITI)</t>
  </si>
  <si>
    <t>Autres agents économiques</t>
  </si>
  <si>
    <t>Le présent tableau traite du volume total d’eau utilisé, c’est-à-dire de l’eau prélevée par les usagers, de l’eau fournie par les services publics ou privés d’alimentation en eau et de l’eau reçue d’autres parties.</t>
  </si>
  <si>
    <t>Tableau W5:  Services d’alimentation en eau (CITI 36)</t>
  </si>
  <si>
    <t>Pertes d’eau douce survenues en cours de transport par CITI 36</t>
  </si>
  <si>
    <r>
      <t xml:space="preserve">Dont : </t>
    </r>
    <r>
      <rPr>
        <sz val="8"/>
        <rFont val="Arial"/>
        <family val="2"/>
      </rPr>
      <t>pertes par évaporation</t>
    </r>
  </si>
  <si>
    <t>pertes résultant de fuites</t>
  </si>
  <si>
    <r>
      <t>Quantité nette d’eau douce fournie par les services d’alimentation en eau (Division 36 de la CITI)</t>
    </r>
    <r>
      <rPr>
        <sz val="8"/>
        <rFont val="Arial"/>
        <family val="2"/>
      </rPr>
      <t xml:space="preserve"> </t>
    </r>
    <r>
      <rPr>
        <b/>
        <sz val="8"/>
        <rFont val="Arial"/>
        <family val="2"/>
      </rPr>
      <t>(=1-2) (=6+7+8+9+10)</t>
    </r>
  </si>
  <si>
    <t>Volume d’eau douce fourni aux destinataires ou aux fins des activités suivantes:</t>
  </si>
  <si>
    <t>Agriculture, sylviculture et pêche 
(divisions 1 à 3 de la CITI)</t>
  </si>
  <si>
    <t>Population desservie par les services d’alimentation en eau (division 36 de la CITI)</t>
  </si>
  <si>
    <t>Population totale desservie par les services d’alimentation en eau (Division 36 de la CITI)</t>
  </si>
  <si>
    <t>Population urbaine desservie par les services d’alimentation en eau (Division 36 de la CITI)</t>
  </si>
  <si>
    <t>Population rurale desservie par les services d’alimentation en eau (Division 36 de la CITI)</t>
  </si>
  <si>
    <t>Le présent tableau traite de l’eau fournie par les services d’alimentation en eau, qu’ils soient publics ou privés. Dans les questionnaires précédents, ces services étaient désignés par l’expression « approvisionnement public en eau ».</t>
  </si>
  <si>
    <t>Tableau W6: Installations de traitement des eaux usées</t>
  </si>
  <si>
    <t>Traitement primaire des eaux usées</t>
  </si>
  <si>
    <t>Nombre de stations</t>
  </si>
  <si>
    <t>Nombre</t>
  </si>
  <si>
    <r>
      <t>1 000 m</t>
    </r>
    <r>
      <rPr>
        <vertAlign val="superscript"/>
        <sz val="8"/>
        <rFont val="Arial"/>
        <family val="2"/>
      </rPr>
      <t>3</t>
    </r>
    <r>
      <rPr>
        <sz val="8"/>
        <rFont val="Arial"/>
        <family val="2"/>
      </rPr>
      <t>/jour</t>
    </r>
  </si>
  <si>
    <t>Capacité nominale (demande biochimique d’oxygène)</t>
  </si>
  <si>
    <r>
      <t>1000 kg O</t>
    </r>
    <r>
      <rPr>
        <vertAlign val="subscript"/>
        <sz val="8"/>
        <rFont val="Arial"/>
        <family val="2"/>
      </rPr>
      <t>2</t>
    </r>
    <r>
      <rPr>
        <sz val="8"/>
        <rFont val="Arial"/>
        <family val="2"/>
      </rPr>
      <t>/jour</t>
    </r>
  </si>
  <si>
    <t>Épuration réelle (volume)</t>
  </si>
  <si>
    <t>Épuration réelle (demande biochimique d’oxygène)</t>
  </si>
  <si>
    <t>Nombre de stations d’épuration</t>
  </si>
  <si>
    <t>Production de boues de décantation des eaux usées</t>
  </si>
  <si>
    <t>Production de boues de décantation 
des eaux usées (matière sèche)</t>
  </si>
  <si>
    <t>Pour éviter les doubles comptages, n’inclure l’eau soumise à plus d’un type de traitement qu’à la rubrique du traitement le plus poussé.</t>
  </si>
  <si>
    <t>Tableau W7: Population raccordée au traitement des eaux usées</t>
  </si>
  <si>
    <r>
      <t xml:space="preserve">Dont : </t>
    </r>
    <r>
      <rPr>
        <sz val="8"/>
        <rFont val="Arial"/>
        <family val="2"/>
      </rPr>
      <t>au moins un moyen de traitement secondaire</t>
    </r>
  </si>
  <si>
    <t>Population avec un traitement indépendant des eaux usées (par exemple les fosses septiques)</t>
  </si>
  <si>
    <t>Population non raccordée au traitement des eaux usées 
[100 % - (2) - (4)]</t>
  </si>
  <si>
    <t xml:space="preserve">Institution à contacter: </t>
  </si>
  <si>
    <t>Tableau W8: Fiche d’informations complémentaires</t>
  </si>
  <si>
    <t xml:space="preserve">Prière d’insérer ci-après la définition nationale de l’eau douce: </t>
  </si>
  <si>
    <t>Prière de donner ci-après des informations complémentaires, telles que : méthode servant à calculer les différents flux entrants et sortants, la période de référence couverte par les moyennes annuelles à long terme, la méthode servant à estimer l’évapotranspiration, les catégories supplémentaires des statistiques nationales d’utilisation de l’eau, etc.</t>
  </si>
  <si>
    <t>Prière d’exposer toute difficulté rencontrée pour remplir le questionnaire.</t>
  </si>
  <si>
    <t>Line 2+W3,4+W3,5+W3,6-W3,7</t>
  </si>
  <si>
    <t>Line 30 ≥ W5,1</t>
  </si>
  <si>
    <t>Line 11=31</t>
  </si>
  <si>
    <t>Line 21=32</t>
  </si>
  <si>
    <t>Line 2 * 120% ≥ 4</t>
  </si>
  <si>
    <t>Line 7 * 120%  ≥ 9</t>
  </si>
  <si>
    <t>Line 12 * 120% ≥ 14</t>
  </si>
  <si>
    <t>Line 17 * 120% ≥ 19</t>
  </si>
  <si>
    <t>Line 22 * 120% ≥ 24</t>
  </si>
  <si>
    <t>Line 27 * 120% ≥ 29</t>
  </si>
  <si>
    <t>Line 32 * 120% ≥ 34</t>
  </si>
  <si>
    <t>W3, 9 &amp; W5, 2</t>
  </si>
  <si>
    <t>W3, 10 &amp; W4, 1</t>
  </si>
  <si>
    <t>W4, 4</t>
  </si>
  <si>
    <t>W6, 17</t>
  </si>
  <si>
    <t>Gross freshwater abstracted (=W2,1)</t>
  </si>
  <si>
    <r>
      <t xml:space="preserve">Gross </t>
    </r>
    <r>
      <rPr>
        <b/>
        <u val="single"/>
        <sz val="8"/>
        <rFont val="Arial"/>
        <family val="2"/>
      </rPr>
      <t>freshwater</t>
    </r>
    <r>
      <rPr>
        <b/>
        <sz val="8"/>
        <rFont val="Arial"/>
        <family val="2"/>
      </rPr>
      <t xml:space="preserve"> abstracted (=11+21) 
(=2+3+4+5+6+7) (=W3,1)</t>
    </r>
  </si>
  <si>
    <t>Total freshwater use (=8-9) (=W4,1)</t>
  </si>
  <si>
    <t>W6</t>
  </si>
  <si>
    <t>of which used by:</t>
  </si>
  <si>
    <t>%</t>
  </si>
  <si>
    <t>Desalinated water</t>
  </si>
  <si>
    <t>Line</t>
  </si>
  <si>
    <r>
      <t>mio m</t>
    </r>
    <r>
      <rPr>
        <b/>
        <vertAlign val="superscript"/>
        <sz val="8"/>
        <rFont val="Arial"/>
        <family val="2"/>
      </rPr>
      <t>3</t>
    </r>
    <r>
      <rPr>
        <b/>
        <sz val="8"/>
        <rFont val="Arial"/>
        <family val="2"/>
      </rPr>
      <t>/y</t>
    </r>
  </si>
  <si>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</si>
  <si>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</si>
  <si>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</si>
  <si>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</si>
  <si>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</si>
  <si>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</si>
  <si>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 xml:space="preserve">Notes : </t>
  </si>
  <si>
    <t>Unit</t>
  </si>
  <si>
    <t>W3</t>
  </si>
  <si>
    <t>Code</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</si>
  <si>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</si>
  <si>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</si>
  <si>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</si>
  <si>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Definitions</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</si>
  <si>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</si>
  <si>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</si>
  <si>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</si>
  <si>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</si>
  <si>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</si>
  <si>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</si>
  <si>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</si>
  <si>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</si>
  <si>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</si>
  <si>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</si>
  <si>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</si>
  <si>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</si>
  <si>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</si>
  <si>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</si>
  <si>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</si>
  <si>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</si>
  <si>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</si>
  <si>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</si>
  <si>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</si>
  <si>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</si>
  <si>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</si>
  <si>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</si>
  <si>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</si>
  <si>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</si>
  <si>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</si>
  <si>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</si>
  <si>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</si>
  <si>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</si>
  <si>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</si>
  <si>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</si>
  <si>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</si>
  <si>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</si>
  <si>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</si>
  <si>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</si>
  <si>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</si>
  <si>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</si>
  <si>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</si>
  <si>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</si>
  <si>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</si>
  <si>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</si>
  <si>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</si>
  <si>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</si>
  <si>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</si>
  <si>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</si>
  <si>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</si>
  <si>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</si>
  <si>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</si>
  <si>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</si>
  <si>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</si>
  <si>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</si>
  <si>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</si>
  <si>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</si>
  <si>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</si>
  <si>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</si>
  <si>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</si>
  <si>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</si>
  <si>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</si>
  <si>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</si>
  <si>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</si>
  <si>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</si>
  <si>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</si>
  <si>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</si>
  <si>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</si>
  <si>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</si>
  <si>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</si>
  <si>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</si>
  <si>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</si>
  <si>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</si>
  <si>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</si>
  <si>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</si>
  <si>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</si>
  <si>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</si>
  <si>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</si>
  <si>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</si>
  <si>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</si>
  <si>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</si>
  <si>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</si>
  <si>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</si>
  <si>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</si>
  <si>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</si>
  <si>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</si>
  <si>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</si>
  <si>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</si>
  <si>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</si>
  <si>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</si>
  <si>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URBAN WASTEWATER TREATMENT</t>
  </si>
  <si>
    <t xml:space="preserve">INDEPENDENT WASTEWATER TREATMENT </t>
  </si>
  <si>
    <t>OTHER WASTEWATER TREATMENT</t>
  </si>
  <si>
    <t>La Division de statistique de l'ONU (UNSD) et le Programme des Nations Unies pour l'Environnement (PNUE)</t>
  </si>
  <si>
    <t>QUESTIONNAIRE 2010 SUR LES STATISTIQUES DE L’ENVIRONNEMENT</t>
  </si>
  <si>
    <t>Section : Eau</t>
  </si>
  <si>
    <t>TABLE DES MATIÈRES</t>
  </si>
  <si>
    <t>Recommandations</t>
  </si>
  <si>
    <t>Introduction, marche à suivre, description des tableaux et table de conversion</t>
  </si>
  <si>
    <t>Définitions</t>
  </si>
  <si>
    <t>Liste des définitions</t>
  </si>
  <si>
    <t>Tableau W1</t>
  </si>
  <si>
    <t>Ressources renouvelables en eau douce</t>
  </si>
  <si>
    <t>Tableau W2</t>
  </si>
  <si>
    <t>Prélèvements d’eau douce</t>
  </si>
  <si>
    <t>Tableau W3</t>
  </si>
  <si>
    <t>Eau douce disponible et utilisable</t>
  </si>
  <si>
    <t>Tableau W4</t>
  </si>
  <si>
    <t>Volume total d’eau utilisé</t>
  </si>
  <si>
    <t>Tableau W5</t>
  </si>
  <si>
    <t>Services d’alimentation en eau (CITI 36)</t>
  </si>
  <si>
    <t>Tableau W6</t>
  </si>
  <si>
    <t>Installations de traitement des eaux usées</t>
  </si>
  <si>
    <t>Tableau W7</t>
  </si>
  <si>
    <t>Population raccordée à des installations de traitement des eaux usées</t>
  </si>
  <si>
    <t>Tableau W8</t>
  </si>
  <si>
    <t>Fiche d’informations complémentaires</t>
  </si>
  <si>
    <t>Introduction</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</si>
  <si>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</si>
  <si>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t>
  </si>
  <si>
    <t>Lorsqu’un pays a communiqué des données en réponse aux questionnaires précédents de la Division de statistique et du PNUE sur les statistiques environnementales, le questionnaire de 2010 a été prérempli au moyen des données communiquées. Il est demandé aux pays d’ajouter les données des années postérieures et de vérifier la cohérence de la série chronologique.</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</si>
  <si>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</si>
  <si>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</si>
  <si>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Le questionnaire sur l’eau doit permettre d’obtenir des informations clefs sur la gestion des ressources en eau à l’échelle d’un pays. Les tableaux dont il est constitué traitent des ressources renouvelables en eau douce,  du prélèvement, du la distribution et de l’utilisation de ressources en eau douce, et du traitement des eaux usées.</t>
  </si>
  <si>
    <t>En raison de la nature complexe des problèmes environnementaux liés à l’eau, il est demandé aux pays de fournir, dans la fiche d’informations complémentaires (W8), un complément d’information de nature à faciliter l’analyse et l’interprétation des données.</t>
  </si>
  <si>
    <t>Une référence utile à la comparaison des données en eau peuvent être comparées est la base de données Aquastat de l’Organisation des Nations Unies pour l’alimentation et l’agriculture (FAO) en ligne à l’adresse suivante : http://www.fao.org/ag/agl/aglw/aquastat/water_res/waterres_tab.htm.</t>
  </si>
  <si>
    <t>Modifications par rapport au questionnaire sur les statistiques environnementales de 2008:</t>
  </si>
  <si>
    <t>La Division de statistique a mis au point des diagrammes permettant de montrer les relations entre les variables des tableaux W1, W2, W3, W4, et W5. Les personnes répondant au questionnaire sont encouragées à utiliser ces diagrammes, de manière à préciser les concepts sur lesquels reposent les données qui y sont demandées. Cliquer sur les cellules pour mettre en relation la variable correspondante des tableaux.</t>
  </si>
  <si>
    <t>L’ordre des tableaux a été modifié pour suivre l’ordre logique des concepts sous-jacents (W2 était par exemple W3 dans le questionnaire précédent).</t>
  </si>
  <si>
    <t>Une section de validation des données est ajoutée à chaque tableau. Elle comprend deux types de tableaux de validation : validation des séries chronologiques et validation de cohérence. Elle aidera tant le pays que la Division de statistique à valider les données communiquées.</t>
  </si>
  <si>
    <t>Marche à suivre</t>
  </si>
  <si>
    <t>Indiquer en haut de chaque tableau l’institution à contacter.</t>
  </si>
  <si>
    <t>Vérifier les données préremplies et dans la mesure du possible, les mettre à jour dans les tableaux. Les tableaux sont préremplis au moyen des données communiquées dans les questionnaires précédents de la Division de statistique et du PNUE. Vérifier les notes préremplies et les rectifier si nécessaire.</t>
  </si>
  <si>
    <t>Au besoin, inclure des notes pour communiquer des informations supplémentaires sur les données. Donner à chacune des notes un code dans l’ordre alphabétique (A, B, C... par ex.) dans la première colonne située à droite des données et dans la section « Notes » en-dessous de chaque tableau. Placer les explications dans la colonne de texte des notes en regard des codes correspondants. S’il y a de fortes fluctuations des données dans les séries chronologiques, ajouter des notes pour expliquer les grands changements.</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</si>
  <si>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(W8).</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</si>
  <si>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1996-1999 sont également visibles et peuvent être rectifiées : mettre en surbrillance les colonnes H à T, cliquer le bouton de droite de la souris et choisir « Afficher ».</t>
  </si>
  <si>
    <t>Fournir le plus d’informations possible dans les notes, pour chaque valeur, sur la source des données et la méthode de collecte.</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</si>
  <si>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</si>
  <si>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De fournir les données dans les unités demandées.</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</si>
  <si>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</si>
  <si>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</si>
  <si>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r>
      <t xml:space="preserve">Nous contacter : </t>
    </r>
    <r>
      <rPr>
        <sz val="10"/>
        <rFont val="Arial"/>
        <family val="2"/>
      </rPr>
      <t>ne pas hésiter à contacter la Division de statistique si vous avez des questions quelles qu’elles soient.</t>
    </r>
  </si>
  <si>
    <t xml:space="preserve">Par la poste: UN Statistics Division, Environment Statistics Section,  DC2 -1416, 2 United Nations Plaza,  New York, New York, 10017, USA </t>
  </si>
  <si>
    <t>Par courriel: envstats@un.org</t>
  </si>
  <si>
    <t>Par télécopieur: +1 (212) 963-0623</t>
  </si>
  <si>
    <t xml:space="preserve">Par téléphone: Reena Shah au +1 (212) 963-4586, ou Yongyi Min au +1 (212) 963-9296, ou Robin Carrington au +1 (212) 963-6234. </t>
  </si>
  <si>
    <t>Description des tableaux</t>
  </si>
  <si>
    <t>Tableau W1 : Ressources renouvelables en eau douce</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</si>
  <si>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Les données demandées dans le tableau procèdent habituellement du suivi et de la modélisation hydrologiques et météorologiques.</t>
  </si>
  <si>
    <t>Tableau W2 : Prélèvements d’eau douce</t>
  </si>
  <si>
    <t>L’eau douce peut être prélevée dans les eaux de surface (cours d’eau, lacs, etc.) et dans les eaux souterraines (puits ou sources). Elle est prélevée par des entités publiques ou privées dont la fonction principale est de fournir de l’eau au public (services d’approvisionnement en eau). Elle peut être également prélevée directement dans les cours d’eau, les lacs, les puits et aux sources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t>
  </si>
  <si>
    <t>Tableau W3 : Eau douce disponible et utilisable</t>
  </si>
  <si>
    <t>Le tableau W3 concerne le volume d’eau mis à disposition, obtenu en additionnant les différentes sources d’eau (prélèvements, dessalement, réutilisations et importations nettes). Le volume total d’eau disponible et utilisable est constitué par les prélèvements nets de l’année considérée, plus l’eau douce obtenue par dessalement, réutilisations et importations, moins les exportations. L’utilisation totale d’eau douce est égale au volume total disponible et utilisable, moins les pertes subies pendant le transport.</t>
  </si>
  <si>
    <t>Tableau W4 : Utilisation totale d’eau</t>
  </si>
  <si>
    <t>Le tableau W4 sert à indiquer le volume global d’eau utilisée selon les grands groupes de la CITI. Inclure dans les chiffres l’eau fournie par les services d’approvisionnement en eau, l’eau prélevée directement par les utilisateurs dans les eaux de surface ou souterraines, et l’eau reçues d’autres parties. L’eau prélevée mais retournée sans avoir été utilisée (eau de drainage, eau de mine…) est à exclure.</t>
  </si>
  <si>
    <t>Tableau W5 : Services d’alimentation en eau (CITI 36)</t>
  </si>
  <si>
    <t>Le tableau W5 concerne les services d’alimentation en eau, c’est-à-dire les entités publiques ou privées dont la fonction principale est de fournir de l’eau au public. Il sert à indiquer les quantités d’eau fournies à ses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utilisée dans les versions antérieures du questionnaire, renvoie aux unités économiques relevant de la Division 36 de la CITI (Collecte, traitement et distribution d’eau).</t>
  </si>
  <si>
    <t>Tableau W6 : Installations de traitement des eaux usées</t>
  </si>
  <si>
    <t>Les eaux usées peuvent être déversées directement dans les masses d'eau, ou peuvent être traitées afin d'éliminer certains polluants avant d'être rejetées. Ce tableau demande des précisions (nombre, capacité) au sujet de l'infrastructure de traitement des eaux usées, et couvre les stations d'épuration desservant une population plus importante et des stations d'épuration indépendantes pour un petit nombre de ménages, ainsi que des stations d'épuration pour les eaux usées industrielles. La quantité et le type de polluants retirés dépendra des spécifications techniques de l'installation de traitement des eaux usées. Le tableau établit une distinction de traitement primaire, secondaire et tertiaire selon le niveau de traitement des eaux usées (voir définitions).</t>
  </si>
  <si>
    <t>Tableau W7 : Population raccordée au traitement des eaux usées</t>
  </si>
  <si>
    <t>Le pourcentage de la population résidente raccordée à un système public de collecte des eaux usées, à un traitement public des eaux usées, et à des installations de traitement indépendantes indiquent la couverture et le niveau sanitaire.</t>
  </si>
  <si>
    <t>Tableau W8 : Fiche d’informations complémentaires</t>
  </si>
  <si>
    <t>Le tableau W8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aux fins de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</si>
  <si>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Table de conversion</t>
  </si>
  <si>
    <t>Pour convertir des :</t>
  </si>
  <si>
    <t>En :</t>
  </si>
  <si>
    <t>Multiplier par :</t>
  </si>
  <si>
    <t>Gallons (Royaume-Uni)</t>
  </si>
  <si>
    <t>Litres</t>
  </si>
  <si>
    <t>Gallons (États-Unis)</t>
  </si>
  <si>
    <t>Mètres cubes</t>
  </si>
  <si>
    <t>Millilitres</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</si>
  <si>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ci-après : &lt;http://unstats.un.org/unsd/cr/registry/regcst.asp?Cl=27&gt;.</t>
  </si>
  <si>
    <t>Code(s) de la CITI</t>
  </si>
  <si>
    <t>Abréviation utilisée
dans le questionnaire</t>
  </si>
  <si>
    <t>CITI Rev. 4</t>
  </si>
  <si>
    <t>Services d’alimentation en eau</t>
  </si>
  <si>
    <t>Le traitement des eaux collectées et les services d’alimentation comprennent la collecte et le traitement des eaux et les activités de distribution pour les besoins industriels et domestiques. Le captage de l'eau destinée à la distribution et provenant de diverses sources (principalement les eaux de surface et les eaux souterraines), le traitement des eaux naturelles (CPC 1800) destinées également à la distribution, ainsi que la distribution présente des eaux naturelles (CPC 1800) par tuyaux, canaux et autres moyens sont inclus dans cette catégorie. Le fonctionnement des canaux d'irrigation est également inclus, mais l’offre de services d'irrigation par aspersion et les autres services de soutien à l’agriculture ne sont pas inclus. 
(Observation : L’expression « approvisionnement public en eau » utilisée dans les questionnaires précédents a été remplacée dans le présent questionnaire par l’expression « services d’alimentation en eau »).</t>
  </si>
  <si>
    <t>Traitement des eaux usées (assainissement)</t>
  </si>
  <si>
    <t>Cette classe comprend les activités suivantes :
- exploitation des réseaux d’égoût ou d’installations de traitement des effluents
- collecte et transport d’eaux usées d’origine humaine ou industrielle provenant d’un ou plusieurs utilisateurs, ainsi que d’eaux pluviales au moyen de réseaux d’égoûts,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tamisage,filtrage, sédimentation, etc.
- entretien et nettoyage des égoûts et des canalisations, y compris tirages d’essai.</t>
  </si>
  <si>
    <t>Agriculture, pêche et sylviculture</t>
  </si>
  <si>
    <t>Le tableau W3 (W2 dans le questionnaire précédent) a été modifié et intitulé désormais « Eau douce disponible et utilisable ».</t>
  </si>
  <si>
    <r>
      <t xml:space="preserve">Par </t>
    </r>
    <r>
      <rPr>
        <b/>
        <sz val="10"/>
        <rFont val="Arial"/>
        <family val="2"/>
      </rPr>
      <t>agriculture, pêche et sylviculture</t>
    </r>
    <r>
      <rPr>
        <sz val="10"/>
        <rFont val="Arial"/>
        <family val="2"/>
      </rPr>
      <t xml:space="preserve">, 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</si>
  <si>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Industrie</t>
  </si>
  <si>
    <r>
      <t xml:space="preserve">Par </t>
    </r>
    <r>
      <rPr>
        <b/>
        <sz val="10"/>
        <rFont val="Arial"/>
        <family val="2"/>
      </rPr>
      <t>industrie</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</si>
  <si>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r>
      <t>D</t>
    </r>
    <r>
      <rPr>
        <b/>
        <sz val="10"/>
        <color indexed="10"/>
        <rFont val="Arial"/>
        <family val="2"/>
      </rPr>
      <t xml:space="preserve">  </t>
    </r>
    <r>
      <rPr>
        <b/>
        <sz val="10"/>
        <rFont val="Arial"/>
        <family val="2"/>
      </rPr>
      <t>351</t>
    </r>
  </si>
  <si>
    <t>Industrie électrique</t>
  </si>
  <si>
    <r>
      <t>Production, transport et distribution d’électricité</t>
    </r>
    <r>
      <rPr>
        <sz val="10"/>
        <rFont val="Arial"/>
        <family val="2"/>
      </rPr>
      <t xml:space="preserve">
Pour le présent questionnaire, l’eau servant à la production hydroélectrique (l’eau retenue derrière un barrage, par ex.) est à exclure.</t>
    </r>
  </si>
  <si>
    <t>Autres activités économiques</t>
  </si>
  <si>
    <r>
      <t xml:space="preserve">Dans le cas du présent questionnaire, </t>
    </r>
    <r>
      <rPr>
        <b/>
        <sz val="10"/>
        <rFont val="Arial"/>
        <family val="2"/>
      </rPr>
      <t>autres activités économiques</t>
    </r>
    <r>
      <rPr>
        <sz val="10"/>
        <rFont val="Arial"/>
        <family val="2"/>
      </rPr>
      <t xml:space="preserve"> fait référence à toutes les autres activités économiques qui ne sont pas précisées précédemment.</t>
    </r>
  </si>
  <si>
    <t>Précipitations</t>
  </si>
  <si>
    <r>
      <t>Volume total des précipitations atmosphériques humides (pluie, neige, grêle, rosée, etc.) tombées sur le territoire du pays en un an, en millions de mètres cubes (mio m</t>
    </r>
    <r>
      <rPr>
        <vertAlign val="superscript"/>
        <sz val="10"/>
        <rFont val="Arial"/>
        <family val="2"/>
      </rPr>
      <t>3</t>
    </r>
    <r>
      <rPr>
        <sz val="10"/>
        <rFont val="Arial"/>
        <family val="2"/>
      </rPr>
      <t>).</t>
    </r>
  </si>
  <si>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</si>
  <si>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</si>
  <si>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</si>
  <si>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Volume total des eaux de ruissellement et des eaux souterraines créé naturellement en un an par les précipitations tombées sur le territoire national.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</si>
  <si>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Apport externe d’eaux de surface et d’eaux souterraines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</si>
  <si>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t>
  </si>
  <si>
    <t>Le volume des ressources renouvelables en eau douce est égal à la somme du flux interne et des apports externes d’eaux de surface et d’eaux souterraines.</t>
  </si>
  <si>
    <t>Flux sortant d’eaux de surface et d’eaux souterraines</t>
  </si>
  <si>
    <t>Volume réel de l’eau des cours d’eau et des eaux souterraines qui est déversé dans les pays voisins et/ou dans la mer.</t>
  </si>
  <si>
    <t>Moyenne annuelle
 à long terme</t>
  </si>
  <si>
    <t>Moyenne arithmétique applicable sur au moins 20 années consécutives. Veuillez indiquer la moyenne correspondant à la période retenue et indiquer la durée de cette période dans une note de bas de page.</t>
  </si>
  <si>
    <t>Eaux douces de surface</t>
  </si>
  <si>
    <t>Eau qui ruissèle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Filtration sur rive: utilisation de formations géologiques contiguës à des masses d’eau de surface pour filtrer l’eau devant servir d’eau de boisson, à l’aide de puits qui sont creusés dans des sédiments fins, sableux, contigüs aux  masses d’eau, qui filtrent l’eau et en retiennent les contaminants.</t>
  </si>
  <si>
    <t>Eaux douces souterraines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</si>
  <si>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</si>
  <si>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</si>
  <si>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</si>
  <si>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</si>
  <si>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</si>
  <si>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</si>
  <si>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</si>
  <si>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</si>
  <si>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</si>
  <si>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</si>
  <si>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</si>
  <si>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</si>
  <si>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</si>
  <si>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</si>
  <si>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</si>
  <si>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</si>
  <si>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</si>
  <si>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</si>
  <si>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</si>
  <si>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</si>
  <si>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</si>
  <si>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</si>
  <si>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</si>
  <si>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</si>
  <si>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</si>
  <si>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</si>
  <si>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</si>
  <si>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</si>
  <si>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</si>
  <si>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</si>
  <si>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</si>
  <si>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</si>
  <si>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</si>
  <si>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</si>
  <si>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</si>
  <si>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</si>
  <si>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</si>
  <si>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</si>
  <si>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</si>
  <si>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</si>
  <si>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</si>
  <si>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</si>
  <si>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</si>
  <si>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</si>
  <si>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</si>
  <si>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</si>
  <si>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</si>
  <si>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</si>
  <si>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</si>
  <si>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</si>
  <si>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</si>
  <si>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</si>
  <si>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</si>
  <si>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</si>
  <si>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</si>
  <si>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</si>
  <si>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</si>
  <si>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</si>
  <si>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</si>
  <si>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</si>
  <si>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</si>
  <si>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</si>
  <si>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</si>
  <si>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</si>
  <si>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</si>
  <si>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</si>
  <si>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</si>
  <si>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</si>
  <si>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</si>
  <si>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</si>
  <si>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</si>
  <si>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</si>
  <si>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</si>
  <si>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</si>
  <si>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</si>
  <si>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</si>
  <si>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</si>
  <si>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</si>
  <si>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</si>
  <si>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</si>
  <si>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</si>
  <si>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</si>
  <si>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</si>
  <si>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</si>
  <si>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</si>
  <si>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</si>
  <si>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</si>
  <si>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</si>
  <si>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</si>
  <si>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</si>
  <si>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</si>
  <si>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</si>
  <si>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</si>
  <si>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</si>
  <si>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</si>
  <si>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</si>
  <si>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</si>
  <si>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</si>
  <si>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</si>
  <si>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</si>
  <si>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</si>
  <si>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</si>
  <si>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</si>
  <si>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</si>
  <si>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</si>
  <si>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</si>
  <si>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</si>
  <si>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</si>
  <si>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</si>
  <si>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</si>
  <si>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</si>
  <si>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</si>
  <si>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</si>
  <si>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</si>
  <si>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</si>
  <si>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</si>
  <si>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</si>
  <si>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Surface water abstracted</t>
  </si>
  <si>
    <t>Actual evapotranspiration</t>
  </si>
  <si>
    <t>Internal flow</t>
  </si>
  <si>
    <r>
      <t>Precipitation</t>
    </r>
    <r>
      <rPr>
        <sz val="8"/>
        <rFont val="Arial"/>
        <family val="2"/>
      </rPr>
      <t xml:space="preserve">                              </t>
    </r>
  </si>
  <si>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</si>
  <si>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</si>
  <si>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</si>
  <si>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</si>
  <si>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</si>
  <si>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</si>
  <si>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</si>
  <si>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</si>
  <si>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Agriculture, forestry and fishing (ISIC 01-03) (=14+24)</t>
  </si>
  <si>
    <t>Agriculture, forestry and fishing  (ISIC 01-03)</t>
  </si>
  <si>
    <t>Manufacturing (ISIC 10-33)</t>
  </si>
  <si>
    <r>
      <t>of which</t>
    </r>
    <r>
      <rPr>
        <sz val="8"/>
        <rFont val="Arial"/>
        <family val="2"/>
      </rPr>
      <t xml:space="preserve"> at least secondary treatment</t>
    </r>
  </si>
  <si>
    <t>Tertiary wastewater treatment</t>
  </si>
  <si>
    <t>W3, 3</t>
  </si>
  <si>
    <t>W3, 4</t>
  </si>
  <si>
    <t>W3, 5</t>
  </si>
  <si>
    <t>W3, 6</t>
  </si>
  <si>
    <t>W3, 7</t>
  </si>
  <si>
    <t>W3, 8</t>
  </si>
  <si>
    <t>W2, 21</t>
  </si>
  <si>
    <t>Of which abstracted by:</t>
  </si>
  <si>
    <t>Total freshwater available for use (=3+4+5+6-7)</t>
  </si>
  <si>
    <t>W5, 5</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</si>
  <si>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</si>
  <si>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</si>
  <si>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</si>
  <si>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</si>
  <si>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</si>
  <si>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r>
      <t xml:space="preserve">of which: </t>
    </r>
    <r>
      <rPr>
        <sz val="8"/>
        <rFont val="Arial"/>
        <family val="2"/>
      </rPr>
      <t>Losses by evaporation</t>
    </r>
  </si>
  <si>
    <t>Reused water</t>
  </si>
  <si>
    <r>
      <t>C</t>
    </r>
    <r>
      <rPr>
        <b/>
        <sz val="10"/>
        <rFont val="Arial"/>
        <family val="2"/>
      </rPr>
      <t xml:space="preserve">  10-33</t>
    </r>
  </si>
  <si>
    <r>
      <t>E</t>
    </r>
    <r>
      <rPr>
        <b/>
        <sz val="10"/>
        <rFont val="Arial"/>
        <family val="2"/>
      </rPr>
      <t xml:space="preserve"> 36</t>
    </r>
  </si>
  <si>
    <t>Population with independent wastewater treatment (e.g. septic tanks)</t>
  </si>
  <si>
    <t>Term</t>
  </si>
  <si>
    <t xml:space="preserve"> UNSD</t>
  </si>
  <si>
    <t xml:space="preserve"> –</t>
  </si>
  <si>
    <t>Population connected to wastewater collecting system</t>
  </si>
  <si>
    <t>Population connected to wastewater treatment</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</si>
  <si>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</si>
  <si>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</si>
  <si>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</si>
  <si>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</si>
  <si>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</si>
  <si>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</si>
  <si>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</si>
  <si>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</si>
  <si>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</si>
  <si>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</si>
  <si>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</si>
  <si>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</si>
  <si>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</si>
  <si>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</si>
  <si>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</si>
  <si>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</si>
  <si>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Table</t>
  </si>
  <si>
    <t>W1, 1</t>
  </si>
  <si>
    <t>W1, 2</t>
  </si>
  <si>
    <t>W1, 3</t>
  </si>
  <si>
    <t>W1, 4</t>
  </si>
  <si>
    <t>W1, 5</t>
  </si>
  <si>
    <t>W1, 6</t>
  </si>
  <si>
    <t>W2, 2</t>
  </si>
  <si>
    <t>W5, 1</t>
  </si>
  <si>
    <t>W6, 2</t>
  </si>
  <si>
    <t>W6, 3</t>
  </si>
  <si>
    <t>W6, 4</t>
  </si>
  <si>
    <t>W6, 5</t>
  </si>
  <si>
    <t>Sewage sludge production (dry matter)</t>
  </si>
  <si>
    <t>W7, 1</t>
  </si>
  <si>
    <t>W7, 2</t>
  </si>
  <si>
    <t>W7, 6</t>
  </si>
  <si>
    <t>W7, 4</t>
  </si>
  <si>
    <t>W3, 2</t>
  </si>
  <si>
    <t>W5</t>
  </si>
  <si>
    <t>Line 1-2</t>
  </si>
  <si>
    <t>Line 7=3</t>
  </si>
  <si>
    <t>Line 3+4</t>
  </si>
  <si>
    <t>Line 8=5</t>
  </si>
  <si>
    <t>Line 1-9</t>
  </si>
  <si>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</si>
  <si>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</si>
  <si>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</si>
  <si>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</si>
  <si>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</si>
  <si>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</si>
  <si>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</si>
  <si>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</si>
  <si>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</si>
  <si>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</si>
  <si>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</si>
  <si>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</si>
  <si>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</si>
  <si>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</si>
  <si>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</si>
  <si>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</si>
  <si>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</si>
  <si>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</si>
  <si>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</si>
  <si>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</si>
  <si>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</si>
  <si>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</si>
  <si>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</si>
  <si>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</si>
  <si>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</si>
  <si>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</si>
  <si>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</si>
  <si>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</si>
  <si>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</si>
  <si>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</si>
  <si>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W2, 6, W2, 16 &amp; W2, 26</t>
  </si>
  <si>
    <t xml:space="preserve">Other economic activities </t>
  </si>
  <si>
    <t>W4, 2</t>
  </si>
  <si>
    <t>W5, 11-13</t>
  </si>
  <si>
    <t>W4,1</t>
  </si>
  <si>
    <t>~1000t</t>
  </si>
  <si>
    <t>W2,1</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</si>
  <si>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</si>
  <si>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</si>
  <si>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</si>
  <si>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</si>
  <si>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</si>
  <si>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</si>
  <si>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</si>
  <si>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</si>
  <si>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</si>
  <si>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</si>
  <si>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</si>
  <si>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</si>
  <si>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</si>
  <si>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</si>
  <si>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</si>
  <si>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</si>
  <si>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</si>
  <si>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</si>
  <si>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r>
      <t>A</t>
    </r>
    <r>
      <rPr>
        <b/>
        <sz val="10"/>
        <rFont val="Arial"/>
        <family val="2"/>
      </rPr>
      <t xml:space="preserve">  01-03</t>
    </r>
  </si>
  <si>
    <t>Other economic activities (=17+27)</t>
  </si>
  <si>
    <t>W1</t>
  </si>
  <si>
    <t>(= W2,3 + W5,6)</t>
  </si>
  <si>
    <t>Line 2 ≤ 9</t>
  </si>
  <si>
    <t>(= W2,4 + W5,7)</t>
  </si>
  <si>
    <t>Line 3 ≤ 10</t>
  </si>
  <si>
    <t>(= W2,5 + W5,8)</t>
  </si>
  <si>
    <t>Line 5 ≤ 11</t>
  </si>
  <si>
    <t>(= W2,6 + W5,9)</t>
  </si>
  <si>
    <t>Line 6 ≤ 12</t>
  </si>
  <si>
    <t xml:space="preserve">Precipitation                              </t>
  </si>
  <si>
    <t>mio m3/y</t>
  </si>
  <si>
    <t>W2</t>
  </si>
  <si>
    <t>W4</t>
  </si>
  <si>
    <t>-</t>
  </si>
  <si>
    <t>W3,9</t>
  </si>
  <si>
    <t>Line 18 ≥ 20</t>
  </si>
  <si>
    <t>Line 23 ≥ 25</t>
  </si>
  <si>
    <t>Line 28 ≥ 30</t>
  </si>
  <si>
    <t>Line 33 ≥ 35</t>
  </si>
  <si>
    <t>Proxy mass actual occupation 
(1000 m3 ~ 1000 t) = 4+9+14+19+24+29+34</t>
  </si>
  <si>
    <t>Agriculture, forestry and fishing (ISIC 01-03)</t>
  </si>
  <si>
    <t>Line 36/365 ≤ 37</t>
  </si>
  <si>
    <t>Water supply industry (ISIC 36) (=12+22)</t>
  </si>
  <si>
    <t>Water supply industry (ISIC 36)</t>
  </si>
  <si>
    <t xml:space="preserve">Households </t>
  </si>
  <si>
    <t xml:space="preserve">Agriculture, forestry and fishing 
(ISIC 01-03) </t>
  </si>
  <si>
    <t xml:space="preserve">Manufacturing 
(ISIC 10-33) </t>
  </si>
  <si>
    <t xml:space="preserve">Primary wastewater treatment </t>
  </si>
  <si>
    <t xml:space="preserve">Secondary wastewater treatment </t>
  </si>
  <si>
    <t>E 37</t>
  </si>
  <si>
    <t xml:space="preserve">Water returned without use </t>
  </si>
  <si>
    <t xml:space="preserve">Net freshwater abstracted (=1-2) </t>
  </si>
  <si>
    <t>Groundwater abstracted</t>
  </si>
  <si>
    <t>W2, 1 &amp; W3, 1</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</si>
  <si>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</si>
  <si>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</si>
  <si>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t>
  </si>
  <si>
    <t xml:space="preserve">                                Losses by leakage</t>
  </si>
  <si>
    <t>(=W3,1)</t>
  </si>
  <si>
    <t>(=W4,1)</t>
  </si>
  <si>
    <t>(=W5,1)</t>
  </si>
  <si>
    <t>(=W2,1)</t>
  </si>
  <si>
    <t>W3,1</t>
  </si>
  <si>
    <t>Manufacturing (ISIC 10-33) (=15+25)</t>
  </si>
  <si>
    <t>Electricity industry (ISIC 351) (=16+26)</t>
  </si>
  <si>
    <t>Electricity industry (ISIC 351)</t>
  </si>
  <si>
    <t>√</t>
  </si>
  <si>
    <t>Volume brut d’eaux douces souterraines prélevé (=22+23+24+25+26+27)</t>
  </si>
  <si>
    <t>Eaux douces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</si>
  <si>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brut d’eau douce prélevé</t>
  </si>
  <si>
    <t>Eau prélevée à une source de manière soit permanente, soit temporaire. Il s’agit de l’eau prélevée par les services d’alimentation en eau (CITI 36), de l’eau prélevée directement par les autres agents économiques et de l’eau restituée à l’environnement sans avoir été utilisée, telle que les eaux de mine et les eaux de drainage.</t>
  </si>
  <si>
    <t>Prélèvements d’eau douce par les services d’alimentation en eau</t>
  </si>
  <si>
    <t>Prélèvements d’eau par les unités économiques qui s’occupent de capter, d’épurer et de distribuer l’eau (y compris de dessalement d’eau de mer destiné à produire de l’eau comme produit principal, et à l’exclusion de l’exploitation d’un système destiné à l’agriculture et du traitement des eaux usées visant uniquement à empêcher la pollution).
Les services d’alimentation en eau sont classés dans la Division 36 de la Classification Internationale Type par Industrie, de toutes les branches d’activité économique (CITI Rév.4).</t>
  </si>
  <si>
    <t>Prélèvements d’eau douce par les services de Production, transport et distribution d’électricité (Groupe 351 de la CITI)</t>
  </si>
  <si>
    <r>
      <t xml:space="preserve">À l’exception </t>
    </r>
    <r>
      <rPr>
        <sz val="10"/>
        <rFont val="Arial"/>
        <family val="2"/>
      </rPr>
      <t>de l’eau servant à la production hydroélectrique (l’eau retenue derrière un barrage, par ex.).</t>
    </r>
  </si>
  <si>
    <t>Volume brut d’eau douce souterraine prélevé</t>
  </si>
  <si>
    <t>Eau douce souterraine extraite du sous-sol, de manière soit permanente, soit temporaire. Doivent y être inclus les prélèvements effectués par les services d’alimentation en eau (division 36 de la CITI) et ceux effectués directement par d’autres agents économiques, ainsi que l’eau prélevée qui est restituée à l’environnement sans avoir été utilisée, telle que les eaux de mine et les eaux de drainage. Veuillez noter que l’alimentation artificielle ne doit pas en être déduite.</t>
  </si>
  <si>
    <t>Eau restituée à l’environnement sans avoir été utilisée</t>
  </si>
  <si>
    <t>Eau déversée dans les eaux douces sans avoir été utilisée ou avant de l’avoir été, essentiellement dans le cadre d’activités minières et de construction. Elle ne comprend pas les déversements dans la mer.</t>
  </si>
  <si>
    <t>Volume net d’eau douce prélevé</t>
  </si>
  <si>
    <t>Ce volume est égal au volume brut d’eau douce prélevé diminué du volume des eaux restituées à l’environnement sans avoir été utilisées.</t>
  </si>
  <si>
    <t>Eau dessalée</t>
  </si>
  <si>
    <t>Volume total d’eau obtenu par dessalement (élimination du sel) de l’eau de mer et des eaux saumâtres.</t>
  </si>
  <si>
    <t>Eau réutilisée</t>
  </si>
  <si>
    <t>Eau utilisée directement reçue par le biais d’un autre utilisateur, traitée ou non. À l’exclusion de l’eau rejetée dans un cours d’eau et utilisée à nouveau en aval. À l’exclusion des eaux recyclées sur un site industriel.</t>
  </si>
  <si>
    <t>Importations d’eau</t>
  </si>
  <si>
    <t>Eau douce importée d’autres pays en tant que matière première par pipeline, bateau ou camion. Elle ne comprend pas l’eau en bouteille.</t>
  </si>
  <si>
    <t>Exportations d’eau</t>
  </si>
  <si>
    <t>Eau douce exportée vers d’autres pays en tant que matière première par pipeline, bateau ou camion. Elle ne comprend pas l’eau en bouteille.</t>
  </si>
  <si>
    <t>Quantité totale d’eau douce disponible et utilisable</t>
  </si>
  <si>
    <t xml:space="preserve"> = Volume net de l’eau douce prélevée + eau dessalée + eau réutilisée + eau importée - eau exportée.</t>
  </si>
  <si>
    <t>Pertes au cours du transport</t>
  </si>
  <si>
    <t>Volume d’eau douce perdu à cause de fuites pendant le transport entre le lieu de prélèvement et le lieu d’utilisation et/ou entre le lieu d’utilisation et le lieu de réutilisation. Il ne comprend pas les pertes dues à l’exploitation et à l’utilisation illégales d’eau, qui doivent être comprises dans les chiffres du tableau W4 concernant l’utilisation de l’eau.</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</si>
  <si>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</si>
  <si>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</si>
  <si>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Eau douce utilisée par les ménages</t>
  </si>
  <si>
    <t>Eau douce utilisée pour le fonctionnement normal des ménages (eau à boire, toilette et lessive). Peut inclure l’eau servant à arroser un potager domestique, mais pas l’eau servant à l’agriculture commerciale.</t>
  </si>
  <si>
    <t>Irrigation agricole</t>
  </si>
  <si>
    <t>Application artificielle d’eau dans le sol pour faciliter la croissance des cultures et des herbages.</t>
  </si>
  <si>
    <t>Quantité brute d’eau douce fournie par les services d’alimentation en eau (Division 36 de la CITI)</t>
  </si>
  <si>
    <t>Volume d’eau fourni par les services d’alimentation en eau aux usagers, y compris les pertes survenant en cours de transport.</t>
  </si>
  <si>
    <t>Quantité nette d’eau douce fournie par les services d’alimentation en eau (Division 36 de la CITI)</t>
  </si>
  <si>
    <t>Volume brut d’eau douce fourni par les services d’alimentation en eau, diminué des pertes en eau douce survenant en cours de transport.</t>
  </si>
  <si>
    <t>Population totale (urbaine, rurale) desservie par les services d’alimentation en eau (Division 36 de la CITI)</t>
  </si>
  <si>
    <t>Pourcentage de la population résidente raccordée à des installations d’alimentation en eau.</t>
  </si>
  <si>
    <t>Eaux usées</t>
  </si>
  <si>
    <t xml:space="preserve">Eaux qui n’ont plus de valeur immédiate aux fins desquelles elle sont utilisées, en raison de leur qualité et/ou de leur quantité et/ou parce qu’elles sont produites à un moment inopportun. </t>
  </si>
  <si>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</si>
  <si>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t>
  </si>
  <si>
    <t>Autre traitement des eaux usées</t>
  </si>
  <si>
    <t>Traitement des eaux usées dans n'importe quelle station d'épuration non-publique, à savoir, les stations d'épuration industrielle. Est exclu de "autre traitement des eaux usées» le traitement des fosses septiques.</t>
  </si>
  <si>
    <t xml:space="preserve">Traitement primaire des eaux usées </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</si>
  <si>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</si>
  <si>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t>Traitement secondaire des eaux usées</t>
  </si>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</sst>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0"/>
    </font>
    <font>
      <b/>
      <sz val="12"/>
      <color indexed="9"/>
      <name val="Arial"/>
      <family val="2"/>
    </font>
    <font>
      <b/>
      <sz val="12"/>
      <color indexed="9"/>
      <name val="Arial Narrow"/>
      <family val="2"/>
    </font>
    <font>
      <b/>
      <sz val="8"/>
      <name val="Tahoma"/>
      <family val="0"/>
    </font>
    <font>
      <sz val="8"/>
      <name val="Tahoma"/>
      <family val="0"/>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18"/>
      <name val="Times New Roman"/>
      <family val="0"/>
    </font>
    <font>
      <sz val="10"/>
      <color indexed="23"/>
      <name val="Arial"/>
      <family val="2"/>
    </font>
    <font>
      <sz val="10"/>
      <color indexed="9"/>
      <name val="Times New Roman"/>
      <family val="0"/>
    </font>
    <font>
      <vertAlign val="subscript"/>
      <sz val="10"/>
      <name val="Arial"/>
      <family val="2"/>
    </font>
    <font>
      <b/>
      <u val="single"/>
      <sz val="14"/>
      <name val="Arial"/>
      <family val="2"/>
    </font>
    <font>
      <sz val="10"/>
      <color indexed="8"/>
      <name val="Arial"/>
      <family val="0"/>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0"/>
    </font>
    <font>
      <sz val="10"/>
      <color indexed="62"/>
      <name val="Arial"/>
      <family val="2"/>
    </font>
    <font>
      <b/>
      <sz val="10"/>
      <color indexed="62"/>
      <name val="Arial"/>
      <family val="2"/>
    </font>
    <font>
      <b/>
      <sz val="18"/>
      <color indexed="48"/>
      <name val="Book Antiqua"/>
      <family val="1"/>
    </font>
    <font>
      <b/>
      <sz val="10"/>
      <color indexed="10"/>
      <name val="Arial"/>
      <family val="2"/>
    </font>
    <font>
      <b/>
      <sz val="8"/>
      <name val="Times New Roman"/>
      <family val="2"/>
    </font>
  </fonts>
  <fills count="14">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s>
  <borders count="70">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style="hair"/>
      <right style="hair"/>
      <top>
        <color indexed="63"/>
      </top>
      <bottom>
        <color indexed="63"/>
      </bottom>
    </border>
    <border>
      <left style="hair"/>
      <right style="hair"/>
      <top style="hair"/>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medium"/>
      <right style="thin"/>
      <top style="thin"/>
      <bottom style="medium"/>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style="hair"/>
      <right style="hair"/>
      <top style="thin"/>
      <bottom style="hair"/>
    </border>
    <border>
      <left style="hair"/>
      <right style="hair"/>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thin"/>
      <top style="thin"/>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49" fillId="0" borderId="0">
      <alignment/>
      <protection/>
    </xf>
    <xf numFmtId="9" fontId="0" fillId="0" borderId="0" applyFont="0" applyFill="0" applyBorder="0" applyAlignment="0" applyProtection="0"/>
  </cellStyleXfs>
  <cellXfs count="7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3" fillId="0" borderId="4"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wrapText="1" indent="2"/>
    </xf>
    <xf numFmtId="0" fontId="9" fillId="0" borderId="6" xfId="0" applyFont="1" applyFill="1" applyBorder="1" applyAlignment="1">
      <alignment horizontal="center" vertical="center"/>
    </xf>
    <xf numFmtId="0" fontId="25" fillId="0" borderId="0" xfId="0" applyFont="1" applyAlignment="1">
      <alignment/>
    </xf>
    <xf numFmtId="0" fontId="5" fillId="0" borderId="7" xfId="0" applyFont="1" applyFill="1" applyBorder="1" applyAlignment="1">
      <alignment horizontal="center" vertical="center"/>
    </xf>
    <xf numFmtId="0" fontId="9"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4" xfId="0" applyFont="1" applyFill="1" applyBorder="1" applyAlignment="1">
      <alignment/>
    </xf>
    <xf numFmtId="0" fontId="10" fillId="0" borderId="0" xfId="0" applyFont="1" applyFill="1" applyAlignment="1">
      <alignment horizontal="center" vertical="center"/>
    </xf>
    <xf numFmtId="0" fontId="16" fillId="0" borderId="2" xfId="0" applyFont="1" applyFill="1" applyBorder="1" applyAlignment="1">
      <alignment horizontal="left" vertical="center" indent="5"/>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9" xfId="0" applyFont="1" applyFill="1" applyBorder="1" applyAlignment="1">
      <alignment horizontal="center" vertical="center"/>
    </xf>
    <xf numFmtId="0" fontId="5" fillId="2" borderId="2"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 borderId="10" xfId="0" applyFont="1" applyFill="1" applyBorder="1" applyAlignment="1">
      <alignment horizontal="center" vertical="center"/>
    </xf>
    <xf numFmtId="0" fontId="5" fillId="0" borderId="2" xfId="0" applyFont="1" applyFill="1" applyBorder="1" applyAlignment="1">
      <alignment horizontal="left" vertical="center" wrapText="1"/>
    </xf>
    <xf numFmtId="0" fontId="25" fillId="0" borderId="0" xfId="0" applyFont="1" applyFill="1" applyAlignment="1">
      <alignment vertical="center"/>
    </xf>
    <xf numFmtId="0" fontId="9" fillId="0" borderId="10" xfId="0" applyFont="1" applyBorder="1" applyAlignment="1">
      <alignment horizontal="left" vertical="center" indent="2"/>
    </xf>
    <xf numFmtId="0" fontId="3" fillId="0" borderId="4" xfId="0" applyFont="1" applyFill="1" applyBorder="1" applyAlignment="1">
      <alignment horizontal="left" vertical="top" wrapText="1"/>
    </xf>
    <xf numFmtId="0" fontId="2" fillId="0" borderId="11" xfId="0" applyFont="1" applyFill="1" applyBorder="1" applyAlignment="1" applyProtection="1">
      <alignment horizontal="justify" vertical="top" wrapText="1"/>
      <protection/>
    </xf>
    <xf numFmtId="0" fontId="2" fillId="0" borderId="11" xfId="0"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center"/>
    </xf>
    <xf numFmtId="0" fontId="3" fillId="0" borderId="4" xfId="0" applyFont="1" applyFill="1" applyBorder="1" applyAlignment="1">
      <alignment vertical="top" wrapText="1"/>
    </xf>
    <xf numFmtId="0" fontId="9" fillId="0" borderId="9" xfId="0" applyFont="1" applyFill="1" applyBorder="1" applyAlignment="1">
      <alignment horizontal="center" vertical="top"/>
    </xf>
    <xf numFmtId="0" fontId="9" fillId="0" borderId="2" xfId="0" applyFont="1" applyFill="1" applyBorder="1" applyAlignment="1">
      <alignment horizontal="left" vertical="center" wrapText="1"/>
    </xf>
    <xf numFmtId="0" fontId="9" fillId="0" borderId="2" xfId="0" applyFont="1" applyBorder="1" applyAlignment="1">
      <alignment horizontal="left" vertical="center"/>
    </xf>
    <xf numFmtId="0" fontId="3" fillId="0" borderId="12" xfId="0" applyFont="1" applyFill="1" applyBorder="1" applyAlignment="1">
      <alignment horizontal="center" vertical="top"/>
    </xf>
    <xf numFmtId="0" fontId="3" fillId="0" borderId="0" xfId="0" applyFont="1" applyAlignment="1">
      <alignment horizontal="center" vertical="top"/>
    </xf>
    <xf numFmtId="0" fontId="0" fillId="0" borderId="0" xfId="0" applyAlignment="1">
      <alignment horizontal="left"/>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6" xfId="0" applyFont="1" applyFill="1" applyBorder="1" applyAlignment="1">
      <alignment horizontal="left" vertical="center" indent="1"/>
    </xf>
    <xf numFmtId="0" fontId="26" fillId="3" borderId="0" xfId="0" applyFont="1" applyFill="1" applyAlignment="1">
      <alignment horizontal="center"/>
    </xf>
    <xf numFmtId="0" fontId="27" fillId="3" borderId="0" xfId="0" applyFont="1" applyFill="1" applyAlignment="1">
      <alignment wrapText="1"/>
    </xf>
    <xf numFmtId="0" fontId="27" fillId="3" borderId="0" xfId="0" applyFont="1" applyFill="1" applyAlignment="1">
      <alignment/>
    </xf>
    <xf numFmtId="0" fontId="4" fillId="3" borderId="0" xfId="0" applyFont="1" applyFill="1" applyAlignment="1">
      <alignment/>
    </xf>
    <xf numFmtId="0" fontId="31"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2" fillId="0" borderId="13"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0" fillId="0" borderId="0" xfId="0" applyFont="1" applyFill="1" applyAlignment="1">
      <alignment/>
    </xf>
    <xf numFmtId="0" fontId="18" fillId="0" borderId="1" xfId="0" applyFont="1" applyBorder="1" applyAlignment="1" applyProtection="1">
      <alignment/>
      <protection locked="0"/>
    </xf>
    <xf numFmtId="0" fontId="19" fillId="0" borderId="1" xfId="0" applyFont="1"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20" fillId="0" borderId="0" xfId="0" applyFont="1" applyAlignment="1" applyProtection="1">
      <alignment/>
      <protection locked="0"/>
    </xf>
    <xf numFmtId="0" fontId="19" fillId="0" borderId="0" xfId="0" applyFont="1" applyBorder="1" applyAlignment="1" applyProtection="1">
      <alignment/>
      <protection locked="0"/>
    </xf>
    <xf numFmtId="0" fontId="4" fillId="3" borderId="0" xfId="0" applyFont="1" applyFill="1" applyAlignment="1" applyProtection="1">
      <alignment/>
      <protection locked="0"/>
    </xf>
    <xf numFmtId="0" fontId="9" fillId="0" borderId="0" xfId="0" applyFont="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30" fillId="3"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30" fillId="3"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3" fillId="3" borderId="0" xfId="0" applyFont="1" applyFill="1" applyAlignment="1">
      <alignment horizontal="left" vertical="center" wrapText="1"/>
    </xf>
    <xf numFmtId="0" fontId="34" fillId="0" borderId="0" xfId="0" applyFont="1" applyAlignment="1">
      <alignment horizontal="left" vertical="center" wrapText="1"/>
    </xf>
    <xf numFmtId="0" fontId="34" fillId="0" borderId="7" xfId="0"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34" fillId="0" borderId="2" xfId="0" applyFont="1" applyFill="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4" borderId="0" xfId="0" applyFont="1" applyFill="1" applyBorder="1" applyAlignment="1">
      <alignment horizontal="left" vertical="center" wrapText="1"/>
    </xf>
    <xf numFmtId="0" fontId="34" fillId="0" borderId="0" xfId="0" applyFont="1" applyBorder="1" applyAlignment="1">
      <alignment horizontal="left" vertical="center" wrapText="1"/>
    </xf>
    <xf numFmtId="0" fontId="34" fillId="3" borderId="0" xfId="0" applyFont="1" applyFill="1" applyAlignment="1">
      <alignment horizontal="left" vertical="center" wrapText="1"/>
    </xf>
    <xf numFmtId="0" fontId="34" fillId="0" borderId="7" xfId="0" applyFont="1" applyFill="1" applyBorder="1" applyAlignment="1" applyProtection="1">
      <alignment horizontal="left" vertical="center" wrapText="1"/>
      <protection locked="0"/>
    </xf>
    <xf numFmtId="0" fontId="34" fillId="0" borderId="6" xfId="0" applyFont="1" applyFill="1" applyBorder="1" applyAlignment="1" applyProtection="1">
      <alignment horizontal="left" vertical="center" wrapText="1"/>
      <protection locked="0"/>
    </xf>
    <xf numFmtId="0" fontId="34" fillId="0" borderId="0" xfId="0" applyFont="1" applyFill="1" applyBorder="1" applyAlignment="1">
      <alignment horizontal="left" vertical="center" wrapText="1"/>
    </xf>
    <xf numFmtId="0" fontId="34" fillId="0" borderId="1" xfId="0" applyFont="1" applyBorder="1" applyAlignment="1">
      <alignment horizontal="left" vertical="center" wrapText="1"/>
    </xf>
    <xf numFmtId="0" fontId="34" fillId="4" borderId="0" xfId="0" applyFont="1" applyFill="1" applyBorder="1" applyAlignment="1">
      <alignment horizontal="left" vertical="center" wrapText="1" indent="2"/>
    </xf>
    <xf numFmtId="0" fontId="34" fillId="0" borderId="1" xfId="0" applyFont="1" applyBorder="1" applyAlignment="1">
      <alignment horizontal="left" vertical="center" wrapText="1" indent="2"/>
    </xf>
    <xf numFmtId="0" fontId="34" fillId="0" borderId="0" xfId="0" applyFont="1" applyAlignment="1">
      <alignment horizontal="left" vertical="center" wrapText="1" indent="2"/>
    </xf>
    <xf numFmtId="0" fontId="34" fillId="2" borderId="2" xfId="0" applyFont="1" applyFill="1" applyBorder="1" applyAlignment="1" applyProtection="1">
      <alignment horizontal="left" vertical="center" wrapText="1"/>
      <protection locked="0"/>
    </xf>
    <xf numFmtId="0" fontId="34" fillId="2" borderId="10" xfId="0" applyFont="1" applyFill="1" applyBorder="1" applyAlignment="1" applyProtection="1">
      <alignment horizontal="left" vertical="center" wrapText="1"/>
      <protection locked="0"/>
    </xf>
    <xf numFmtId="0" fontId="34" fillId="4" borderId="0" xfId="0" applyFont="1" applyFill="1" applyAlignment="1">
      <alignment horizontal="left" vertical="center" wrapText="1"/>
    </xf>
    <xf numFmtId="0" fontId="35" fillId="0" borderId="0" xfId="0" applyFont="1" applyAlignment="1">
      <alignment horizontal="left" vertical="center" wrapText="1"/>
    </xf>
    <xf numFmtId="0" fontId="34" fillId="0" borderId="10" xfId="0" applyFont="1" applyBorder="1" applyAlignment="1" applyProtection="1">
      <alignment horizontal="left" vertical="center" wrapText="1"/>
      <protection locked="0"/>
    </xf>
    <xf numFmtId="0" fontId="34" fillId="0" borderId="0" xfId="0" applyFont="1" applyFill="1" applyAlignment="1">
      <alignment horizontal="left" vertical="center" wrapText="1"/>
    </xf>
    <xf numFmtId="0" fontId="34" fillId="0" borderId="0" xfId="0" applyFont="1" applyBorder="1" applyAlignment="1">
      <alignment horizontal="left" vertical="center" wrapText="1" indent="2"/>
    </xf>
    <xf numFmtId="0" fontId="36" fillId="2" borderId="8" xfId="0" applyFont="1" applyFill="1" applyBorder="1" applyAlignment="1" applyProtection="1">
      <alignment horizontal="left" vertical="center" wrapText="1"/>
      <protection locked="0"/>
    </xf>
    <xf numFmtId="0" fontId="2" fillId="0" borderId="0" xfId="0" applyFont="1" applyFill="1" applyAlignment="1">
      <alignment vertical="top"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1" fillId="0" borderId="12" xfId="0" applyFont="1" applyFill="1" applyBorder="1" applyAlignment="1">
      <alignment horizontal="left" vertical="top" wrapText="1"/>
    </xf>
    <xf numFmtId="0" fontId="2" fillId="0" borderId="11" xfId="0" applyFont="1" applyFill="1" applyBorder="1" applyAlignment="1">
      <alignment vertical="top" wrapText="1"/>
    </xf>
    <xf numFmtId="49" fontId="1" fillId="0" borderId="17" xfId="0" applyNumberFormat="1" applyFont="1" applyFill="1" applyBorder="1" applyAlignment="1">
      <alignment vertical="top" wrapText="1"/>
    </xf>
    <xf numFmtId="0" fontId="1" fillId="0" borderId="12" xfId="0" applyFont="1" applyFill="1" applyBorder="1" applyAlignment="1">
      <alignment vertical="top" wrapText="1"/>
    </xf>
    <xf numFmtId="0" fontId="2" fillId="0" borderId="14" xfId="0" applyFont="1" applyFill="1" applyBorder="1" applyAlignment="1">
      <alignment vertical="top" wrapText="1"/>
    </xf>
    <xf numFmtId="0" fontId="0" fillId="0" borderId="0" xfId="0" applyFont="1" applyAlignment="1">
      <alignment/>
    </xf>
    <xf numFmtId="0" fontId="9" fillId="0" borderId="9" xfId="0"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5" fillId="0" borderId="7" xfId="0" applyFont="1" applyFill="1" applyBorder="1" applyAlignment="1">
      <alignment horizontal="left" vertical="center" wrapText="1"/>
    </xf>
    <xf numFmtId="0" fontId="9" fillId="0" borderId="2" xfId="0" applyFont="1" applyBorder="1" applyAlignment="1">
      <alignment horizontal="left" vertical="center" indent="2"/>
    </xf>
    <xf numFmtId="0" fontId="16" fillId="2" borderId="10" xfId="0" applyFont="1" applyFill="1" applyBorder="1" applyAlignment="1">
      <alignment horizontal="left" vertical="center"/>
    </xf>
    <xf numFmtId="0" fontId="1" fillId="0" borderId="18" xfId="0" applyFont="1" applyFill="1" applyBorder="1" applyAlignment="1">
      <alignment vertical="top" wrapText="1"/>
    </xf>
    <xf numFmtId="0" fontId="0" fillId="3" borderId="0" xfId="0" applyFill="1" applyAlignment="1">
      <alignment/>
    </xf>
    <xf numFmtId="0" fontId="32" fillId="0" borderId="0" xfId="0" applyFont="1" applyBorder="1" applyAlignment="1">
      <alignment horizontal="center" vertical="center"/>
    </xf>
    <xf numFmtId="0" fontId="35" fillId="0" borderId="0" xfId="0" applyFont="1" applyBorder="1" applyAlignment="1">
      <alignment horizontal="left" vertical="center" wrapText="1"/>
    </xf>
    <xf numFmtId="0" fontId="34" fillId="0" borderId="19" xfId="0" applyFont="1" applyBorder="1" applyAlignment="1" applyProtection="1">
      <alignment horizontal="left" vertical="center" wrapText="1"/>
      <protection locked="0"/>
    </xf>
    <xf numFmtId="0" fontId="26" fillId="0" borderId="0" xfId="0" applyFont="1" applyFill="1" applyAlignment="1">
      <alignment horizontal="center"/>
    </xf>
    <xf numFmtId="0" fontId="27" fillId="0" borderId="0" xfId="0" applyFont="1" applyFill="1" applyAlignment="1">
      <alignment wrapText="1"/>
    </xf>
    <xf numFmtId="0" fontId="27" fillId="0" borderId="0" xfId="0" applyFont="1" applyFill="1" applyAlignment="1">
      <alignment/>
    </xf>
    <xf numFmtId="0" fontId="30" fillId="0" borderId="0" xfId="0" applyFont="1" applyFill="1" applyAlignment="1">
      <alignment horizontal="center" vertical="center"/>
    </xf>
    <xf numFmtId="0" fontId="33" fillId="0" borderId="0" xfId="0" applyFont="1" applyFill="1" applyAlignment="1">
      <alignment horizontal="left" vertical="center" wrapText="1"/>
    </xf>
    <xf numFmtId="0" fontId="30"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3" borderId="0" xfId="0" applyFont="1" applyFill="1" applyAlignment="1">
      <alignment/>
    </xf>
    <xf numFmtId="0" fontId="0" fillId="5" borderId="0" xfId="0" applyFont="1" applyFill="1" applyAlignment="1">
      <alignment/>
    </xf>
    <xf numFmtId="0" fontId="0" fillId="5" borderId="0" xfId="0" applyFill="1" applyBorder="1" applyAlignment="1">
      <alignment/>
    </xf>
    <xf numFmtId="0" fontId="4" fillId="0" borderId="0" xfId="21" applyFont="1" applyBorder="1">
      <alignment/>
      <protection/>
    </xf>
    <xf numFmtId="0" fontId="3" fillId="0" borderId="0" xfId="21" applyFont="1" applyBorder="1" applyProtection="1">
      <alignment/>
      <protection locked="0"/>
    </xf>
    <xf numFmtId="0" fontId="0" fillId="5" borderId="0" xfId="0" applyFill="1" applyBorder="1" applyAlignment="1">
      <alignment vertical="center" wrapText="1"/>
    </xf>
    <xf numFmtId="0" fontId="4" fillId="3" borderId="0" xfId="0" applyFont="1" applyFill="1" applyAlignment="1">
      <alignment/>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wrapText="1"/>
    </xf>
    <xf numFmtId="0" fontId="1" fillId="5" borderId="0" xfId="0" applyFont="1" applyFill="1" applyAlignment="1">
      <alignment/>
    </xf>
    <xf numFmtId="0" fontId="9" fillId="5" borderId="0" xfId="0" applyFont="1" applyFill="1" applyAlignment="1">
      <alignment horizontal="center" vertical="center"/>
    </xf>
    <xf numFmtId="0" fontId="34" fillId="5" borderId="0" xfId="0" applyFont="1" applyFill="1" applyAlignment="1">
      <alignment horizontal="left" vertical="center" wrapText="1"/>
    </xf>
    <xf numFmtId="0" fontId="9" fillId="5" borderId="0" xfId="0" applyFont="1" applyFill="1" applyAlignment="1">
      <alignment horizontal="center" vertical="center" wrapText="1"/>
    </xf>
    <xf numFmtId="0" fontId="9" fillId="5" borderId="0" xfId="0" applyFont="1" applyFill="1" applyBorder="1" applyAlignment="1">
      <alignment horizontal="center" vertical="center"/>
    </xf>
    <xf numFmtId="0" fontId="0" fillId="2" borderId="0" xfId="0" applyFill="1" applyBorder="1" applyAlignment="1">
      <alignment/>
    </xf>
    <xf numFmtId="0" fontId="44" fillId="5" borderId="0" xfId="0" applyFont="1" applyFill="1" applyAlignment="1">
      <alignment/>
    </xf>
    <xf numFmtId="0" fontId="0" fillId="5" borderId="0" xfId="0" applyFill="1" applyAlignment="1">
      <alignment vertical="center" wrapText="1"/>
    </xf>
    <xf numFmtId="0" fontId="3" fillId="5" borderId="0" xfId="21" applyFont="1" applyFill="1" applyBorder="1">
      <alignment/>
      <protection/>
    </xf>
    <xf numFmtId="0" fontId="3" fillId="5" borderId="0" xfId="21" applyFont="1" applyFill="1" applyBorder="1" applyAlignment="1">
      <alignment horizontal="center"/>
      <protection/>
    </xf>
    <xf numFmtId="0" fontId="3" fillId="5" borderId="0" xfId="0" applyFont="1" applyFill="1" applyBorder="1" applyAlignment="1">
      <alignment wrapText="1"/>
    </xf>
    <xf numFmtId="0" fontId="3" fillId="5" borderId="0" xfId="0" applyFont="1" applyFill="1" applyBorder="1" applyAlignment="1">
      <alignment/>
    </xf>
    <xf numFmtId="0" fontId="34" fillId="5" borderId="0" xfId="0" applyFont="1" applyFill="1" applyBorder="1" applyAlignment="1">
      <alignment horizontal="left" vertical="center" wrapText="1"/>
    </xf>
    <xf numFmtId="0" fontId="9" fillId="5" borderId="0" xfId="0" applyFont="1" applyFill="1" applyBorder="1" applyAlignment="1">
      <alignment horizontal="center" vertical="center" wrapText="1"/>
    </xf>
    <xf numFmtId="0" fontId="0" fillId="0" borderId="0" xfId="0" applyFont="1" applyAlignment="1">
      <alignment/>
    </xf>
    <xf numFmtId="0" fontId="23" fillId="0" borderId="0" xfId="0" applyFont="1" applyAlignment="1">
      <alignment horizontal="left" vertical="top" wrapText="1" indent="4"/>
    </xf>
    <xf numFmtId="0" fontId="34"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40" fillId="0" borderId="0" xfId="0" applyFont="1" applyFill="1" applyAlignment="1">
      <alignment vertical="top" wrapText="1"/>
    </xf>
    <xf numFmtId="0" fontId="40" fillId="0" borderId="0" xfId="0" applyFont="1" applyFill="1" applyAlignment="1">
      <alignment horizontal="left" vertical="top" wrapText="1"/>
    </xf>
    <xf numFmtId="0" fontId="34" fillId="0" borderId="0" xfId="0" applyNumberFormat="1" applyFont="1" applyBorder="1" applyAlignment="1" applyProtection="1">
      <alignment horizontal="left" vertical="center"/>
      <protection locked="0"/>
    </xf>
    <xf numFmtId="0" fontId="34" fillId="0" borderId="0" xfId="0" applyNumberFormat="1" applyFont="1" applyFill="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39" fillId="0" borderId="0" xfId="0" applyFont="1" applyFill="1" applyAlignment="1">
      <alignment horizontal="left" vertical="top" wrapText="1"/>
    </xf>
    <xf numFmtId="0" fontId="23" fillId="0" borderId="0" xfId="0" applyFont="1" applyAlignment="1">
      <alignment horizontal="left" vertical="top" indent="4"/>
    </xf>
    <xf numFmtId="0" fontId="2" fillId="0" borderId="0" xfId="0" applyFont="1" applyFill="1" applyAlignment="1">
      <alignment/>
    </xf>
    <xf numFmtId="0" fontId="0" fillId="6" borderId="20" xfId="0" applyFill="1" applyBorder="1" applyAlignment="1">
      <alignment vertical="center" wrapText="1"/>
    </xf>
    <xf numFmtId="0" fontId="42" fillId="6" borderId="21" xfId="0" applyFont="1" applyFill="1" applyBorder="1" applyAlignment="1">
      <alignment/>
    </xf>
    <xf numFmtId="0" fontId="0" fillId="6" borderId="21" xfId="0" applyFill="1" applyBorder="1" applyAlignment="1">
      <alignment/>
    </xf>
    <xf numFmtId="0" fontId="43" fillId="6" borderId="21" xfId="0" applyFont="1" applyFill="1" applyBorder="1" applyAlignment="1">
      <alignment/>
    </xf>
    <xf numFmtId="0" fontId="0" fillId="6" borderId="22" xfId="0" applyFill="1" applyBorder="1" applyAlignment="1">
      <alignment/>
    </xf>
    <xf numFmtId="0" fontId="0" fillId="6" borderId="23" xfId="0" applyFill="1" applyBorder="1" applyAlignment="1">
      <alignment vertical="center" wrapText="1"/>
    </xf>
    <xf numFmtId="0" fontId="0" fillId="6" borderId="24" xfId="0" applyFill="1" applyBorder="1" applyAlignment="1">
      <alignment/>
    </xf>
    <xf numFmtId="0" fontId="0" fillId="6" borderId="25" xfId="0" applyFill="1" applyBorder="1" applyAlignment="1">
      <alignment vertical="center" wrapText="1"/>
    </xf>
    <xf numFmtId="0" fontId="0" fillId="6" borderId="26" xfId="0" applyFill="1" applyBorder="1" applyAlignment="1">
      <alignment/>
    </xf>
    <xf numFmtId="0" fontId="0" fillId="6" borderId="27" xfId="0" applyFill="1" applyBorder="1" applyAlignment="1">
      <alignment/>
    </xf>
    <xf numFmtId="0" fontId="0" fillId="6" borderId="21" xfId="0" applyFill="1" applyBorder="1" applyAlignment="1">
      <alignment vertical="center" wrapText="1"/>
    </xf>
    <xf numFmtId="0" fontId="0" fillId="6" borderId="26" xfId="0" applyFill="1" applyBorder="1" applyAlignment="1">
      <alignment vertical="center" wrapText="1"/>
    </xf>
    <xf numFmtId="0" fontId="0" fillId="5" borderId="28" xfId="0" applyFill="1" applyBorder="1" applyAlignment="1">
      <alignment vertical="center" wrapText="1"/>
    </xf>
    <xf numFmtId="0" fontId="0" fillId="5" borderId="29" xfId="0" applyFill="1" applyBorder="1" applyAlignment="1">
      <alignment vertical="center" wrapText="1"/>
    </xf>
    <xf numFmtId="0" fontId="0" fillId="5" borderId="29" xfId="0" applyFill="1" applyBorder="1" applyAlignment="1">
      <alignment/>
    </xf>
    <xf numFmtId="0" fontId="0" fillId="0" borderId="29" xfId="0" applyFill="1" applyBorder="1" applyAlignment="1">
      <alignment/>
    </xf>
    <xf numFmtId="0" fontId="0" fillId="5" borderId="30" xfId="0" applyFill="1" applyBorder="1" applyAlignment="1">
      <alignment/>
    </xf>
    <xf numFmtId="0" fontId="0" fillId="5" borderId="31" xfId="0" applyFill="1" applyBorder="1" applyAlignment="1">
      <alignment vertical="center" wrapText="1"/>
    </xf>
    <xf numFmtId="0" fontId="0" fillId="5" borderId="32" xfId="0" applyFill="1" applyBorder="1" applyAlignment="1">
      <alignment/>
    </xf>
    <xf numFmtId="0" fontId="0" fillId="0" borderId="32" xfId="0" applyFill="1" applyBorder="1" applyAlignment="1">
      <alignment vertical="center" wrapText="1"/>
    </xf>
    <xf numFmtId="0" fontId="0" fillId="5" borderId="33" xfId="0" applyFill="1" applyBorder="1" applyAlignment="1">
      <alignment vertical="center" wrapText="1"/>
    </xf>
    <xf numFmtId="0" fontId="0" fillId="5" borderId="34" xfId="0" applyFill="1" applyBorder="1" applyAlignment="1">
      <alignment/>
    </xf>
    <xf numFmtId="0" fontId="0" fillId="5" borderId="35"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 borderId="0" xfId="0" applyFill="1" applyAlignment="1">
      <alignment/>
    </xf>
    <xf numFmtId="0" fontId="0" fillId="2" borderId="0" xfId="0" applyFill="1" applyAlignment="1" applyProtection="1">
      <alignment/>
      <protection locked="0"/>
    </xf>
    <xf numFmtId="0" fontId="0" fillId="2" borderId="0" xfId="0" applyFont="1" applyFill="1" applyAlignment="1">
      <alignment/>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7" xfId="0" applyFont="1" applyFill="1" applyBorder="1" applyAlignment="1" applyProtection="1">
      <alignment horizontal="center" vertical="center"/>
      <protection locked="0"/>
    </xf>
    <xf numFmtId="0" fontId="34" fillId="2" borderId="7"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6" xfId="0" applyFont="1" applyFill="1" applyBorder="1" applyAlignment="1" applyProtection="1">
      <alignment horizontal="center" vertical="center"/>
      <protection locked="0"/>
    </xf>
    <xf numFmtId="0" fontId="34" fillId="2" borderId="6" xfId="0" applyFont="1" applyFill="1" applyBorder="1" applyAlignment="1" applyProtection="1">
      <alignment horizontal="left" vertical="center" wrapText="1"/>
      <protection locked="0"/>
    </xf>
    <xf numFmtId="0" fontId="9" fillId="2" borderId="0" xfId="0" applyFont="1" applyFill="1" applyBorder="1" applyAlignment="1">
      <alignment horizontal="center"/>
    </xf>
    <xf numFmtId="0" fontId="5" fillId="2" borderId="0" xfId="0" applyFont="1" applyFill="1" applyBorder="1" applyAlignment="1">
      <alignment horizontal="left" wrapText="1"/>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0" fillId="2" borderId="0" xfId="0" applyFont="1" applyFill="1" applyBorder="1" applyAlignment="1">
      <alignment/>
    </xf>
    <xf numFmtId="0" fontId="9" fillId="2" borderId="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41" fillId="2" borderId="2" xfId="0" applyFont="1" applyFill="1" applyBorder="1" applyAlignment="1">
      <alignment horizontal="right" vertical="center" wrapText="1"/>
    </xf>
    <xf numFmtId="0" fontId="9" fillId="2" borderId="2" xfId="0" applyFont="1" applyFill="1" applyBorder="1" applyAlignment="1" applyProtection="1">
      <alignment horizontal="center" vertical="center"/>
      <protection/>
    </xf>
    <xf numFmtId="0" fontId="0" fillId="2" borderId="2" xfId="0" applyFill="1" applyBorder="1" applyAlignment="1">
      <alignment/>
    </xf>
    <xf numFmtId="0" fontId="9" fillId="2" borderId="2" xfId="0" applyFont="1" applyFill="1" applyBorder="1" applyAlignment="1">
      <alignment horizontal="center"/>
    </xf>
    <xf numFmtId="0" fontId="9" fillId="2" borderId="2" xfId="0" applyFont="1" applyFill="1" applyBorder="1" applyAlignment="1" applyProtection="1">
      <alignment horizontal="center" vertical="center" wrapText="1"/>
      <protection/>
    </xf>
    <xf numFmtId="0" fontId="0" fillId="2" borderId="2" xfId="0" applyFill="1" applyBorder="1" applyAlignment="1" applyProtection="1">
      <alignment/>
      <protection/>
    </xf>
    <xf numFmtId="0" fontId="2" fillId="0" borderId="0" xfId="0" applyFont="1" applyFill="1" applyBorder="1" applyAlignment="1">
      <alignment vertical="center" wrapText="1"/>
    </xf>
    <xf numFmtId="0" fontId="9" fillId="5" borderId="0" xfId="0" applyFont="1" applyFill="1" applyBorder="1" applyAlignment="1">
      <alignment horizontal="center"/>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0" borderId="0" xfId="0" applyFont="1" applyBorder="1" applyAlignment="1">
      <alignment horizontal="center"/>
    </xf>
    <xf numFmtId="0" fontId="43" fillId="5" borderId="0" xfId="0" applyFont="1" applyFill="1" applyBorder="1" applyAlignment="1">
      <alignment horizontal="center"/>
    </xf>
    <xf numFmtId="0" fontId="9" fillId="9"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9" borderId="4" xfId="0" applyFont="1" applyFill="1" applyBorder="1" applyAlignment="1">
      <alignment horizontal="center" vertical="center"/>
    </xf>
    <xf numFmtId="0" fontId="3" fillId="4" borderId="4" xfId="0" applyFont="1" applyFill="1" applyBorder="1" applyAlignment="1">
      <alignment horizontal="center" vertical="center"/>
    </xf>
    <xf numFmtId="0" fontId="34"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9" fillId="0" borderId="2" xfId="0" applyFont="1" applyFill="1" applyBorder="1" applyAlignment="1">
      <alignment horizontal="left" vertical="center" wrapText="1" indent="1"/>
    </xf>
    <xf numFmtId="0" fontId="40" fillId="0" borderId="1" xfId="0" applyFont="1" applyBorder="1" applyAlignment="1">
      <alignment/>
    </xf>
    <xf numFmtId="0" fontId="38" fillId="0" borderId="1" xfId="0" applyFont="1" applyBorder="1" applyAlignment="1">
      <alignment horizontal="right"/>
    </xf>
    <xf numFmtId="0" fontId="46" fillId="0" borderId="0" xfId="0" applyFont="1" applyAlignment="1">
      <alignment/>
    </xf>
    <xf numFmtId="0" fontId="46" fillId="0" borderId="0" xfId="0" applyFont="1" applyFill="1" applyAlignment="1">
      <alignment/>
    </xf>
    <xf numFmtId="0" fontId="46"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4"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0" fillId="2" borderId="0" xfId="0" applyFont="1" applyFill="1" applyBorder="1" applyAlignment="1">
      <alignment/>
    </xf>
    <xf numFmtId="0" fontId="0" fillId="2" borderId="0" xfId="0" applyFont="1" applyFill="1" applyAlignment="1">
      <alignment/>
    </xf>
    <xf numFmtId="0" fontId="34" fillId="2" borderId="0" xfId="0" applyNumberFormat="1" applyFont="1" applyFill="1" applyAlignment="1" applyProtection="1">
      <alignment horizontal="left" vertical="center"/>
      <protection locked="0"/>
    </xf>
    <xf numFmtId="0" fontId="19" fillId="2" borderId="0" xfId="0" applyFont="1" applyFill="1" applyAlignment="1">
      <alignment/>
    </xf>
    <xf numFmtId="0" fontId="19" fillId="2" borderId="0" xfId="0" applyFont="1" applyFill="1" applyBorder="1" applyAlignment="1">
      <alignment/>
    </xf>
    <xf numFmtId="0" fontId="9" fillId="2" borderId="9" xfId="0" applyFont="1" applyFill="1" applyBorder="1" applyAlignment="1">
      <alignment horizontal="center" vertical="center"/>
    </xf>
    <xf numFmtId="0" fontId="9" fillId="2" borderId="9" xfId="0" applyFont="1" applyFill="1" applyBorder="1" applyAlignment="1">
      <alignment horizontal="left" vertical="center" wrapText="1"/>
    </xf>
    <xf numFmtId="0" fontId="9" fillId="2" borderId="9" xfId="0" applyFont="1" applyFill="1" applyBorder="1" applyAlignment="1" applyProtection="1">
      <alignment horizontal="center" vertical="center" wrapText="1"/>
      <protection locked="0"/>
    </xf>
    <xf numFmtId="0" fontId="34" fillId="2" borderId="9"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xf>
    <xf numFmtId="0" fontId="5" fillId="2" borderId="2" xfId="0" applyFont="1" applyFill="1" applyBorder="1" applyAlignment="1">
      <alignment horizontal="left" vertical="center"/>
    </xf>
    <xf numFmtId="0" fontId="34" fillId="2" borderId="2" xfId="0" applyFont="1" applyFill="1" applyBorder="1" applyAlignment="1" applyProtection="1">
      <alignment horizontal="left" vertical="center" wrapText="1" indent="2"/>
      <protection locked="0"/>
    </xf>
    <xf numFmtId="0" fontId="9" fillId="2" borderId="7"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left" vertical="center" wrapText="1" indent="2"/>
      <protection locked="0"/>
    </xf>
    <xf numFmtId="0" fontId="40" fillId="2" borderId="0" xfId="0" applyFont="1" applyFill="1" applyAlignment="1">
      <alignment horizontal="left" vertical="top" wrapText="1"/>
    </xf>
    <xf numFmtId="0" fontId="0" fillId="2" borderId="0" xfId="0" applyFont="1" applyFill="1" applyAlignment="1">
      <alignment/>
    </xf>
    <xf numFmtId="0" fontId="0" fillId="2" borderId="0" xfId="0" applyFill="1" applyAlignment="1">
      <alignment/>
    </xf>
    <xf numFmtId="0" fontId="10"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top" wrapText="1"/>
    </xf>
    <xf numFmtId="0" fontId="2" fillId="2" borderId="0" xfId="0" applyFont="1" applyFill="1" applyBorder="1" applyAlignment="1" applyProtection="1">
      <alignment horizontal="left" wrapText="1"/>
      <protection locked="0"/>
    </xf>
    <xf numFmtId="0" fontId="5" fillId="2" borderId="7" xfId="0" applyFont="1" applyFill="1" applyBorder="1" applyAlignment="1">
      <alignment horizontal="center" vertical="center"/>
    </xf>
    <xf numFmtId="0" fontId="9" fillId="2" borderId="2" xfId="0" applyFont="1" applyFill="1" applyBorder="1" applyAlignment="1">
      <alignment horizontal="left" vertical="center" indent="3"/>
    </xf>
    <xf numFmtId="0" fontId="9" fillId="2" borderId="2" xfId="0" applyFont="1" applyFill="1" applyBorder="1" applyAlignment="1">
      <alignment horizontal="left" vertical="center" wrapText="1" indent="3"/>
    </xf>
    <xf numFmtId="0" fontId="16" fillId="2" borderId="2" xfId="0" applyFont="1" applyFill="1" applyBorder="1" applyAlignment="1">
      <alignment horizontal="left" vertical="center" indent="5"/>
    </xf>
    <xf numFmtId="0" fontId="9" fillId="2" borderId="6" xfId="0" applyFont="1" applyFill="1" applyBorder="1" applyAlignment="1">
      <alignment horizontal="left" vertical="center" wrapText="1" indent="3"/>
    </xf>
    <xf numFmtId="0" fontId="0" fillId="2" borderId="0" xfId="0" applyFill="1" applyBorder="1" applyAlignment="1">
      <alignment/>
    </xf>
    <xf numFmtId="0" fontId="40" fillId="2" borderId="0" xfId="0" applyFont="1" applyFill="1" applyAlignment="1">
      <alignment vertical="top" wrapText="1"/>
    </xf>
    <xf numFmtId="0" fontId="9" fillId="2" borderId="0" xfId="0" applyFont="1" applyFill="1" applyBorder="1" applyAlignment="1">
      <alignment horizontal="center" vertical="center"/>
    </xf>
    <xf numFmtId="0" fontId="34" fillId="2" borderId="0" xfId="0" applyFont="1" applyFill="1" applyBorder="1" applyAlignment="1" applyProtection="1">
      <alignment horizontal="left" vertical="center" wrapText="1"/>
      <protection locked="0"/>
    </xf>
    <xf numFmtId="0" fontId="9" fillId="2" borderId="0" xfId="0" applyFont="1" applyFill="1" applyBorder="1" applyAlignment="1">
      <alignment vertical="center"/>
    </xf>
    <xf numFmtId="0" fontId="5" fillId="2" borderId="7" xfId="0" applyFont="1" applyFill="1" applyBorder="1" applyAlignment="1">
      <alignment horizontal="left" vertical="center" wrapText="1"/>
    </xf>
    <xf numFmtId="0" fontId="10" fillId="2" borderId="0" xfId="0" applyFont="1" applyFill="1" applyAlignment="1">
      <alignment horizontal="left" vertical="center"/>
    </xf>
    <xf numFmtId="0" fontId="9" fillId="2"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5"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left" vertical="center" indent="1"/>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protection locked="0"/>
    </xf>
    <xf numFmtId="0" fontId="0" fillId="2" borderId="0" xfId="0" applyFont="1" applyFill="1" applyAlignment="1" applyProtection="1">
      <alignment horizontal="center"/>
      <protection locked="0"/>
    </xf>
    <xf numFmtId="0" fontId="9" fillId="2" borderId="0" xfId="0" applyFont="1" applyFill="1" applyAlignment="1" applyProtection="1">
      <alignment/>
      <protection locked="0"/>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36"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0" fillId="2" borderId="0" xfId="0" applyFont="1" applyFill="1" applyBorder="1" applyAlignment="1" applyProtection="1">
      <alignment horizontal="center"/>
      <protection locked="0"/>
    </xf>
    <xf numFmtId="0" fontId="10" fillId="2" borderId="0" xfId="0" applyFont="1" applyFill="1" applyBorder="1" applyAlignment="1" applyProtection="1">
      <alignment horizontal="right"/>
      <protection locked="0"/>
    </xf>
    <xf numFmtId="0" fontId="16" fillId="2" borderId="2" xfId="0" applyFont="1" applyFill="1" applyBorder="1" applyAlignment="1">
      <alignment horizontal="left" vertical="center" wrapText="1" indent="3"/>
    </xf>
    <xf numFmtId="0" fontId="9" fillId="2" borderId="2" xfId="0" applyFont="1" applyFill="1" applyBorder="1" applyAlignment="1">
      <alignment horizontal="left" vertical="center" wrapText="1" indent="2"/>
    </xf>
    <xf numFmtId="0" fontId="9" fillId="2" borderId="2" xfId="0" applyFont="1" applyFill="1" applyBorder="1" applyAlignment="1">
      <alignment horizontal="left" vertical="center" indent="2"/>
    </xf>
    <xf numFmtId="0" fontId="9" fillId="2" borderId="10" xfId="0" applyFont="1" applyFill="1" applyBorder="1" applyAlignment="1">
      <alignment horizontal="left" vertical="center" indent="2"/>
    </xf>
    <xf numFmtId="0" fontId="0" fillId="2" borderId="0" xfId="0" applyFont="1" applyFill="1" applyBorder="1" applyAlignment="1">
      <alignment horizontal="center" vertical="center"/>
    </xf>
    <xf numFmtId="0" fontId="2" fillId="2" borderId="0" xfId="0" applyFont="1" applyFill="1" applyBorder="1" applyAlignment="1" applyProtection="1">
      <alignment wrapText="1"/>
      <protection locked="0"/>
    </xf>
    <xf numFmtId="0" fontId="9" fillId="2" borderId="2" xfId="0" applyFont="1" applyFill="1" applyBorder="1" applyAlignment="1">
      <alignment horizontal="right" vertical="center" wrapText="1"/>
    </xf>
    <xf numFmtId="0" fontId="5" fillId="2" borderId="7" xfId="0" applyFont="1" applyFill="1" applyBorder="1" applyAlignment="1">
      <alignment vertical="center" wrapText="1"/>
    </xf>
    <xf numFmtId="0" fontId="16" fillId="2" borderId="2" xfId="0" applyFont="1" applyFill="1" applyBorder="1" applyAlignment="1">
      <alignment horizontal="left" vertical="center" wrapText="1" indent="4"/>
    </xf>
    <xf numFmtId="0" fontId="9" fillId="2" borderId="2" xfId="0" applyFont="1" applyFill="1" applyBorder="1" applyAlignment="1">
      <alignment vertical="center" wrapText="1"/>
    </xf>
    <xf numFmtId="0" fontId="0" fillId="2" borderId="0" xfId="0" applyFont="1" applyFill="1" applyAlignment="1">
      <alignment/>
    </xf>
    <xf numFmtId="0" fontId="9" fillId="2" borderId="3" xfId="0" applyFont="1" applyFill="1" applyBorder="1" applyAlignment="1">
      <alignment horizontal="center" vertical="center"/>
    </xf>
    <xf numFmtId="0" fontId="9" fillId="2" borderId="3" xfId="0" applyFont="1" applyFill="1" applyBorder="1" applyAlignment="1" applyProtection="1">
      <alignment horizontal="center" vertical="center"/>
      <protection locked="0"/>
    </xf>
    <xf numFmtId="0" fontId="34" fillId="2" borderId="3"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9" fillId="2" borderId="0" xfId="0" applyFont="1" applyFill="1" applyAlignment="1" applyProtection="1">
      <alignment horizontal="right" vertical="center" wrapText="1"/>
      <protection locked="0"/>
    </xf>
    <xf numFmtId="0" fontId="9" fillId="2" borderId="0" xfId="0" applyFont="1" applyFill="1" applyBorder="1" applyAlignment="1" applyProtection="1">
      <alignment horizontal="right" vertical="center" wrapText="1"/>
      <protection locked="0"/>
    </xf>
    <xf numFmtId="0" fontId="0" fillId="2" borderId="0" xfId="0" applyFill="1" applyBorder="1" applyAlignment="1" applyProtection="1">
      <alignment horizontal="center"/>
      <protection locked="0"/>
    </xf>
    <xf numFmtId="0" fontId="9" fillId="2" borderId="2" xfId="0" applyFont="1" applyFill="1" applyBorder="1" applyAlignment="1">
      <alignment horizontal="right" vertical="center" wrapText="1" indent="2"/>
    </xf>
    <xf numFmtId="0" fontId="25" fillId="2" borderId="0" xfId="0" applyFont="1" applyFill="1" applyAlignment="1">
      <alignment vertical="center"/>
    </xf>
    <xf numFmtId="0" fontId="10" fillId="2" borderId="0" xfId="0" applyFont="1" applyFill="1" applyAlignment="1">
      <alignment vertical="center"/>
    </xf>
    <xf numFmtId="0" fontId="25" fillId="2" borderId="0" xfId="0" applyFont="1" applyFill="1" applyAlignment="1">
      <alignment/>
    </xf>
    <xf numFmtId="0" fontId="39" fillId="2" borderId="0" xfId="0" applyFont="1" applyFill="1" applyAlignment="1">
      <alignment horizontal="left" vertical="top" wrapText="1"/>
    </xf>
    <xf numFmtId="0" fontId="5" fillId="2" borderId="37" xfId="0" applyFont="1" applyFill="1" applyBorder="1" applyAlignment="1">
      <alignment horizontal="center" vertical="center"/>
    </xf>
    <xf numFmtId="0" fontId="9" fillId="2" borderId="37" xfId="0" applyFont="1" applyFill="1" applyBorder="1" applyAlignment="1" applyProtection="1">
      <alignment horizontal="center" vertical="center"/>
      <protection locked="0"/>
    </xf>
    <xf numFmtId="0" fontId="0" fillId="2" borderId="0" xfId="0" applyFill="1" applyAlignment="1">
      <alignment vertical="center"/>
    </xf>
    <xf numFmtId="0" fontId="0" fillId="2" borderId="0" xfId="0" applyFont="1" applyFill="1" applyAlignment="1">
      <alignment vertical="center"/>
    </xf>
    <xf numFmtId="0" fontId="48" fillId="2" borderId="0" xfId="0" applyFont="1" applyFill="1" applyBorder="1" applyAlignment="1">
      <alignment horizontal="left"/>
    </xf>
    <xf numFmtId="0" fontId="0" fillId="2" borderId="0" xfId="0"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9" fillId="2" borderId="9" xfId="0" applyFont="1" applyFill="1" applyBorder="1" applyAlignment="1" applyProtection="1">
      <alignment horizontal="center" vertical="center" wrapText="1"/>
      <protection/>
    </xf>
    <xf numFmtId="0" fontId="9" fillId="2" borderId="38" xfId="0" applyFont="1" applyFill="1" applyBorder="1" applyAlignment="1" applyProtection="1">
      <alignment horizontal="center" vertical="center" wrapText="1"/>
      <protection/>
    </xf>
    <xf numFmtId="0" fontId="9" fillId="2" borderId="0" xfId="0" applyFont="1" applyFill="1" applyAlignment="1" applyProtection="1">
      <alignment horizontal="center" vertical="center"/>
      <protection locked="0"/>
    </xf>
    <xf numFmtId="0" fontId="5"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4" fillId="2" borderId="9" xfId="0" applyFont="1" applyFill="1" applyBorder="1" applyAlignment="1" applyProtection="1">
      <alignment horizontal="left" vertical="center" wrapText="1"/>
      <protection/>
    </xf>
    <xf numFmtId="0" fontId="34" fillId="2" borderId="2" xfId="0" applyFont="1" applyFill="1" applyBorder="1" applyAlignment="1" applyProtection="1">
      <alignment horizontal="left" vertical="center" wrapText="1"/>
      <protection/>
    </xf>
    <xf numFmtId="0" fontId="9" fillId="2" borderId="6" xfId="0" applyFont="1" applyFill="1" applyBorder="1" applyAlignment="1" applyProtection="1">
      <alignment horizontal="center" vertical="center"/>
      <protection/>
    </xf>
    <xf numFmtId="0" fontId="34" fillId="2" borderId="6" xfId="0" applyFont="1" applyFill="1" applyBorder="1" applyAlignment="1" applyProtection="1">
      <alignment horizontal="left" vertical="center" wrapText="1"/>
      <protection/>
    </xf>
    <xf numFmtId="0" fontId="9" fillId="2" borderId="0" xfId="0" applyFont="1" applyFill="1" applyAlignment="1">
      <alignment horizontal="center"/>
    </xf>
    <xf numFmtId="0" fontId="0" fillId="2" borderId="0" xfId="0" applyFill="1" applyAlignment="1">
      <alignment horizontal="center"/>
    </xf>
    <xf numFmtId="0" fontId="40" fillId="2" borderId="0" xfId="0" applyFont="1" applyFill="1" applyAlignment="1">
      <alignment horizontal="center"/>
    </xf>
    <xf numFmtId="0" fontId="9" fillId="2" borderId="0" xfId="0" applyFont="1" applyFill="1" applyBorder="1" applyAlignment="1" applyProtection="1">
      <alignment horizontal="center" vertical="center"/>
      <protection/>
    </xf>
    <xf numFmtId="0" fontId="40" fillId="2"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9" fillId="2" borderId="0" xfId="0" applyFont="1" applyFill="1" applyBorder="1" applyAlignment="1">
      <alignment horizontal="left" vertical="center" wrapText="1" indent="2"/>
    </xf>
    <xf numFmtId="0" fontId="0" fillId="2" borderId="0" xfId="0" applyFont="1" applyFill="1" applyAlignment="1" applyProtection="1">
      <alignment horizontal="center"/>
      <protection locked="0"/>
    </xf>
    <xf numFmtId="0" fontId="9" fillId="2" borderId="7" xfId="0" applyFont="1" applyFill="1" applyBorder="1" applyAlignment="1" applyProtection="1">
      <alignment horizontal="center" vertical="center"/>
      <protection/>
    </xf>
    <xf numFmtId="0" fontId="9" fillId="2" borderId="9" xfId="0" applyFont="1" applyFill="1" applyBorder="1" applyAlignment="1" applyProtection="1">
      <alignment horizontal="center" vertical="center"/>
      <protection/>
    </xf>
    <xf numFmtId="0" fontId="0" fillId="2" borderId="0" xfId="0" applyFont="1" applyFill="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25" fillId="2" borderId="0" xfId="0" applyFont="1" applyFill="1" applyAlignment="1" applyProtection="1">
      <alignment horizontal="center"/>
      <protection locked="0"/>
    </xf>
    <xf numFmtId="0" fontId="49" fillId="10" borderId="39" xfId="22" applyFont="1" applyFill="1" applyBorder="1" applyAlignment="1">
      <alignment horizontal="center"/>
      <protection/>
    </xf>
    <xf numFmtId="0" fontId="49" fillId="10" borderId="39" xfId="22" applyFont="1" applyFill="1" applyBorder="1" applyAlignment="1">
      <alignment horizontal="center" wrapText="1"/>
      <protection/>
    </xf>
    <xf numFmtId="0" fontId="49" fillId="11" borderId="40" xfId="22" applyFont="1" applyFill="1" applyBorder="1" applyAlignment="1">
      <alignment horizontal="right" wrapText="1"/>
      <protection/>
    </xf>
    <xf numFmtId="0" fontId="49" fillId="11" borderId="40" xfId="22" applyFont="1" applyFill="1" applyBorder="1" applyAlignment="1">
      <alignment wrapText="1"/>
      <protection/>
    </xf>
    <xf numFmtId="0" fontId="50" fillId="2" borderId="7" xfId="0" applyFont="1" applyFill="1" applyBorder="1" applyAlignment="1">
      <alignment horizontal="center" vertical="center"/>
    </xf>
    <xf numFmtId="0" fontId="50" fillId="2" borderId="2" xfId="0" applyFont="1" applyFill="1" applyBorder="1" applyAlignment="1">
      <alignment horizontal="right" vertical="center" wrapText="1"/>
    </xf>
    <xf numFmtId="0" fontId="40" fillId="2" borderId="2" xfId="0" applyFont="1" applyFill="1" applyBorder="1" applyAlignment="1">
      <alignment horizontal="center"/>
    </xf>
    <xf numFmtId="0" fontId="44" fillId="2" borderId="0" xfId="0" applyFont="1" applyFill="1" applyAlignment="1" applyProtection="1">
      <alignment/>
      <protection locked="0"/>
    </xf>
    <xf numFmtId="0" fontId="51" fillId="2" borderId="0" xfId="0" applyFont="1" applyFill="1" applyAlignment="1">
      <alignment vertical="top"/>
    </xf>
    <xf numFmtId="0" fontId="9" fillId="2" borderId="37" xfId="0" applyFont="1" applyFill="1" applyBorder="1" applyAlignment="1">
      <alignment horizontal="left" vertical="center" wrapText="1"/>
    </xf>
    <xf numFmtId="0" fontId="9" fillId="2" borderId="3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50" fillId="2" borderId="2" xfId="0" applyNumberFormat="1" applyFont="1" applyFill="1" applyBorder="1" applyAlignment="1">
      <alignment horizontal="right" vertical="center" wrapText="1"/>
    </xf>
    <xf numFmtId="0" fontId="50" fillId="2" borderId="2" xfId="0" applyFont="1" applyFill="1" applyBorder="1" applyAlignment="1">
      <alignment horizontal="center" vertical="center"/>
    </xf>
    <xf numFmtId="0" fontId="50" fillId="2" borderId="6" xfId="0" applyFont="1" applyFill="1" applyBorder="1" applyAlignment="1">
      <alignment horizontal="right" vertical="center" wrapText="1"/>
    </xf>
    <xf numFmtId="0" fontId="53" fillId="2" borderId="0" xfId="0" applyFont="1" applyFill="1" applyAlignment="1">
      <alignment/>
    </xf>
    <xf numFmtId="0" fontId="54" fillId="2" borderId="0" xfId="0" applyFont="1" applyFill="1" applyAlignment="1">
      <alignment/>
    </xf>
    <xf numFmtId="0" fontId="55" fillId="2" borderId="0" xfId="0" applyFont="1" applyFill="1" applyAlignment="1">
      <alignment vertical="top"/>
    </xf>
    <xf numFmtId="0" fontId="50" fillId="2" borderId="2" xfId="0" applyFont="1" applyFill="1" applyBorder="1" applyAlignment="1">
      <alignment horizontal="right" vertical="center"/>
    </xf>
    <xf numFmtId="0" fontId="50" fillId="2" borderId="6" xfId="0" applyFont="1" applyFill="1" applyBorder="1" applyAlignment="1">
      <alignment horizontal="right" vertical="center"/>
    </xf>
    <xf numFmtId="0" fontId="40" fillId="2" borderId="6" xfId="0" applyFont="1" applyFill="1" applyBorder="1" applyAlignment="1">
      <alignment horizontal="center"/>
    </xf>
    <xf numFmtId="0" fontId="9" fillId="2" borderId="6" xfId="0" applyFont="1" applyFill="1" applyBorder="1" applyAlignment="1" applyProtection="1">
      <alignment horizontal="center" vertical="center" wrapText="1"/>
      <protection locked="0"/>
    </xf>
    <xf numFmtId="0" fontId="53" fillId="2" borderId="2" xfId="0" applyFont="1" applyFill="1" applyBorder="1" applyAlignment="1">
      <alignment horizontal="right" vertical="center" wrapText="1"/>
    </xf>
    <xf numFmtId="49" fontId="50" fillId="2" borderId="2" xfId="0" applyNumberFormat="1" applyFont="1" applyFill="1" applyBorder="1" applyAlignment="1">
      <alignment horizontal="right" vertical="center"/>
    </xf>
    <xf numFmtId="49" fontId="50" fillId="2" borderId="6" xfId="0" applyNumberFormat="1" applyFont="1" applyFill="1" applyBorder="1" applyAlignment="1">
      <alignment horizontal="right" vertical="center"/>
    </xf>
    <xf numFmtId="0" fontId="53" fillId="2" borderId="0" xfId="0" applyFont="1" applyFill="1" applyBorder="1" applyAlignment="1">
      <alignment horizontal="left" vertical="center"/>
    </xf>
    <xf numFmtId="0" fontId="54" fillId="2" borderId="0" xfId="0" applyFont="1" applyFill="1" applyBorder="1" applyAlignment="1">
      <alignment/>
    </xf>
    <xf numFmtId="0" fontId="40" fillId="2" borderId="10" xfId="0" applyFont="1" applyFill="1" applyBorder="1" applyAlignment="1">
      <alignment horizontal="center"/>
    </xf>
    <xf numFmtId="0" fontId="9" fillId="2" borderId="38" xfId="0" applyFont="1" applyFill="1" applyBorder="1" applyAlignment="1">
      <alignment horizontal="center" vertical="center"/>
    </xf>
    <xf numFmtId="0" fontId="9" fillId="2" borderId="6" xfId="0" applyFont="1" applyFill="1" applyBorder="1" applyAlignment="1">
      <alignment horizontal="center"/>
    </xf>
    <xf numFmtId="0" fontId="9" fillId="2" borderId="6" xfId="0" applyFont="1" applyFill="1" applyBorder="1" applyAlignment="1" applyProtection="1">
      <alignment horizontal="center"/>
      <protection/>
    </xf>
    <xf numFmtId="0" fontId="50" fillId="2" borderId="6" xfId="0" applyFont="1" applyFill="1" applyBorder="1" applyAlignment="1">
      <alignment horizontal="right" wrapText="1"/>
    </xf>
    <xf numFmtId="0" fontId="50" fillId="2" borderId="2" xfId="0" applyFont="1" applyFill="1" applyBorder="1" applyAlignment="1">
      <alignment horizontal="center" vertical="center" wrapText="1"/>
    </xf>
    <xf numFmtId="0" fontId="0" fillId="2" borderId="2" xfId="0" applyFill="1" applyBorder="1" applyAlignment="1">
      <alignment horizontal="center"/>
    </xf>
    <xf numFmtId="0" fontId="54" fillId="2" borderId="2" xfId="0" applyFont="1" applyFill="1" applyBorder="1" applyAlignment="1">
      <alignment/>
    </xf>
    <xf numFmtId="0" fontId="0" fillId="2" borderId="6" xfId="0" applyFill="1" applyBorder="1" applyAlignment="1">
      <alignment/>
    </xf>
    <xf numFmtId="0" fontId="2" fillId="0" borderId="0" xfId="0" applyFont="1" applyFill="1" applyAlignment="1">
      <alignment horizontal="left" vertical="center" wrapText="1"/>
    </xf>
    <xf numFmtId="0" fontId="3" fillId="0" borderId="24" xfId="0" applyFont="1" applyFill="1" applyBorder="1" applyAlignment="1">
      <alignment vertical="top"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41" xfId="0" applyFont="1" applyFill="1" applyBorder="1" applyAlignment="1">
      <alignment horizontal="center" vertical="top" wrapText="1"/>
    </xf>
    <xf numFmtId="0" fontId="2" fillId="0" borderId="13" xfId="0" applyFont="1" applyFill="1" applyBorder="1" applyAlignment="1">
      <alignment horizontal="left" vertical="top" wrapText="1"/>
    </xf>
    <xf numFmtId="0" fontId="3" fillId="0" borderId="41" xfId="0" applyFont="1" applyFill="1" applyBorder="1" applyAlignment="1">
      <alignment horizontal="center" vertical="top"/>
    </xf>
    <xf numFmtId="0" fontId="3" fillId="0" borderId="15" xfId="0" applyFont="1" applyFill="1" applyBorder="1" applyAlignment="1">
      <alignment vertical="top" wrapText="1"/>
    </xf>
    <xf numFmtId="0" fontId="0" fillId="0" borderId="0" xfId="0" applyFont="1" applyFill="1" applyBorder="1" applyAlignment="1" applyProtection="1">
      <alignment/>
      <protection locked="0"/>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9" fillId="0" borderId="0" xfId="0" applyFont="1" applyFill="1" applyAlignment="1">
      <alignment horizontal="left" vertical="top" wrapText="1"/>
    </xf>
    <xf numFmtId="0" fontId="16"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 fillId="0" borderId="2" xfId="0" applyFont="1" applyFill="1" applyBorder="1" applyAlignment="1">
      <alignment horizontal="left" vertical="center" indent="3"/>
    </xf>
    <xf numFmtId="0" fontId="9" fillId="0" borderId="2" xfId="0" applyFont="1" applyFill="1" applyBorder="1" applyAlignment="1">
      <alignment horizontal="left" vertical="center" wrapText="1" indent="3"/>
    </xf>
    <xf numFmtId="0" fontId="9" fillId="0" borderId="6" xfId="0" applyFont="1" applyFill="1" applyBorder="1" applyAlignment="1">
      <alignment horizontal="left" vertical="center" wrapText="1" indent="3"/>
    </xf>
    <xf numFmtId="0" fontId="5" fillId="2" borderId="2" xfId="0" applyFont="1" applyFill="1" applyBorder="1" applyAlignment="1">
      <alignment horizontal="right" vertical="center" wrapText="1"/>
    </xf>
    <xf numFmtId="0" fontId="9" fillId="0" borderId="2" xfId="0" applyFont="1" applyFill="1" applyBorder="1" applyAlignment="1">
      <alignment vertical="center" wrapText="1"/>
    </xf>
    <xf numFmtId="0" fontId="57" fillId="0" borderId="0" xfId="0" applyFont="1" applyFill="1" applyAlignment="1">
      <alignment vertical="top"/>
    </xf>
    <xf numFmtId="0" fontId="9" fillId="0" borderId="7" xfId="0" applyFont="1" applyFill="1" applyBorder="1" applyAlignment="1">
      <alignment vertical="center" wrapText="1"/>
    </xf>
    <xf numFmtId="0" fontId="5" fillId="2" borderId="37" xfId="0" applyFont="1" applyFill="1" applyBorder="1" applyAlignment="1">
      <alignment vertical="center"/>
    </xf>
    <xf numFmtId="0" fontId="5" fillId="2" borderId="2" xfId="0" applyFont="1" applyFill="1" applyBorder="1" applyAlignment="1">
      <alignment vertical="center"/>
    </xf>
    <xf numFmtId="0" fontId="2" fillId="0" borderId="42" xfId="0" applyFont="1" applyBorder="1" applyAlignment="1" applyProtection="1">
      <alignment horizontal="center"/>
      <protection locked="0"/>
    </xf>
    <xf numFmtId="0" fontId="2" fillId="0" borderId="43"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9" fillId="5" borderId="7" xfId="0" applyFont="1" applyFill="1" applyBorder="1" applyAlignment="1" applyProtection="1">
      <alignment horizontal="center" vertical="center"/>
      <protection locked="0"/>
    </xf>
    <xf numFmtId="0" fontId="34" fillId="5" borderId="7"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protection locked="0"/>
    </xf>
    <xf numFmtId="0" fontId="34"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protection locked="0"/>
    </xf>
    <xf numFmtId="0" fontId="34" fillId="5" borderId="10"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34"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wrapText="1"/>
      <protection locked="0"/>
    </xf>
    <xf numFmtId="0" fontId="34" fillId="5" borderId="9" xfId="0" applyFont="1" applyFill="1" applyBorder="1" applyAlignment="1" applyProtection="1">
      <alignment horizontal="left" vertical="center" wrapText="1"/>
      <protection locked="0"/>
    </xf>
    <xf numFmtId="0" fontId="34" fillId="5" borderId="2" xfId="0" applyFont="1" applyFill="1" applyBorder="1" applyAlignment="1" applyProtection="1">
      <alignment horizontal="left" vertical="center" wrapText="1" indent="2"/>
      <protection locked="0"/>
    </xf>
    <xf numFmtId="0" fontId="34" fillId="5" borderId="6" xfId="0" applyFont="1" applyFill="1" applyBorder="1" applyAlignment="1" applyProtection="1">
      <alignment horizontal="left" vertical="center" wrapText="1" indent="2"/>
      <protection locked="0"/>
    </xf>
    <xf numFmtId="0" fontId="50" fillId="2" borderId="10" xfId="0" applyFont="1" applyFill="1" applyBorder="1" applyAlignment="1">
      <alignment horizontal="right" vertical="center"/>
    </xf>
    <xf numFmtId="0" fontId="5" fillId="2" borderId="10" xfId="0" applyFont="1" applyFill="1" applyBorder="1" applyAlignment="1">
      <alignment horizontal="center" vertical="center"/>
    </xf>
    <xf numFmtId="0" fontId="9" fillId="2" borderId="10" xfId="0" applyFont="1" applyFill="1" applyBorder="1" applyAlignment="1" applyProtection="1">
      <alignment horizontal="center" vertical="center" wrapText="1"/>
      <protection/>
    </xf>
    <xf numFmtId="0" fontId="0" fillId="0" borderId="42"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0" fillId="0" borderId="1" xfId="0" applyBorder="1" applyAlignment="1" applyProtection="1">
      <alignment/>
      <protection locked="0"/>
    </xf>
    <xf numFmtId="0" fontId="9" fillId="0" borderId="19" xfId="0" applyFont="1" applyBorder="1" applyAlignment="1" applyProtection="1">
      <alignment horizontal="center" vertical="center"/>
      <protection locked="0"/>
    </xf>
    <xf numFmtId="0" fontId="0" fillId="0" borderId="19" xfId="0" applyFont="1" applyBorder="1" applyAlignment="1" applyProtection="1">
      <alignment/>
      <protection locked="0"/>
    </xf>
    <xf numFmtId="0" fontId="0" fillId="0" borderId="47" xfId="0" applyFont="1" applyBorder="1" applyAlignment="1" applyProtection="1">
      <alignment/>
      <protection locked="0"/>
    </xf>
    <xf numFmtId="0" fontId="9" fillId="0" borderId="48" xfId="0" applyFont="1" applyBorder="1" applyAlignment="1" applyProtection="1">
      <alignment horizontal="center" vertical="center"/>
      <protection locked="0"/>
    </xf>
    <xf numFmtId="0" fontId="34" fillId="0" borderId="48" xfId="0" applyFont="1" applyBorder="1" applyAlignment="1" applyProtection="1">
      <alignment horizontal="left" vertical="center" wrapText="1"/>
      <protection locked="0"/>
    </xf>
    <xf numFmtId="0" fontId="0" fillId="0" borderId="48" xfId="0" applyFont="1" applyBorder="1" applyAlignment="1" applyProtection="1">
      <alignment/>
      <protection locked="0"/>
    </xf>
    <xf numFmtId="0" fontId="0" fillId="0" borderId="49" xfId="0" applyFont="1" applyBorder="1" applyAlignment="1" applyProtection="1">
      <alignment/>
      <protection locked="0"/>
    </xf>
    <xf numFmtId="0" fontId="0" fillId="0" borderId="0" xfId="0" applyBorder="1" applyAlignment="1" applyProtection="1">
      <alignment/>
      <protection locked="0"/>
    </xf>
    <xf numFmtId="0" fontId="0" fillId="3" borderId="0" xfId="0" applyFont="1" applyFill="1" applyAlignment="1">
      <alignment/>
    </xf>
    <xf numFmtId="0" fontId="0" fillId="4" borderId="0" xfId="0" applyFont="1" applyFill="1" applyAlignment="1">
      <alignment/>
    </xf>
    <xf numFmtId="0" fontId="5" fillId="2" borderId="37"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2" fillId="0" borderId="0" xfId="0" applyFont="1" applyFill="1" applyBorder="1" applyAlignment="1">
      <alignment vertical="top"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horizontal="left" vertical="center" wrapText="1"/>
    </xf>
    <xf numFmtId="0" fontId="3" fillId="0" borderId="4" xfId="0" applyFont="1" applyFill="1" applyBorder="1" applyAlignment="1">
      <alignment horizontal="center" wrapText="1"/>
    </xf>
    <xf numFmtId="0" fontId="2" fillId="0" borderId="4" xfId="0" applyFont="1" applyBorder="1" applyAlignment="1">
      <alignment horizontal="center" wrapText="1"/>
    </xf>
    <xf numFmtId="0" fontId="15" fillId="0" borderId="0" xfId="0" applyFont="1" applyFill="1" applyAlignment="1">
      <alignment vertical="center"/>
    </xf>
    <xf numFmtId="0" fontId="9" fillId="0" borderId="0" xfId="0" applyFont="1" applyFill="1" applyAlignment="1">
      <alignment horizontal="center"/>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53" xfId="0" applyFont="1" applyFill="1" applyBorder="1" applyAlignment="1">
      <alignment vertical="top" wrapText="1"/>
    </xf>
    <xf numFmtId="0" fontId="3" fillId="2" borderId="50" xfId="0" applyFont="1" applyFill="1" applyBorder="1" applyAlignment="1">
      <alignment horizontal="center" vertical="center"/>
    </xf>
    <xf numFmtId="0" fontId="3" fillId="0" borderId="4" xfId="0" applyFont="1" applyBorder="1" applyAlignment="1">
      <alignment vertical="top" wrapText="1"/>
    </xf>
    <xf numFmtId="0" fontId="3" fillId="0" borderId="12" xfId="0" applyFont="1" applyBorder="1" applyAlignment="1">
      <alignment horizontal="center" vertical="top"/>
    </xf>
    <xf numFmtId="0" fontId="2"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12" xfId="0" applyFont="1" applyBorder="1" applyAlignment="1">
      <alignment horizontal="center" vertical="top" wrapText="1"/>
    </xf>
    <xf numFmtId="0" fontId="2" fillId="0" borderId="11" xfId="0" applyFont="1" applyBorder="1" applyAlignment="1">
      <alignment vertical="top" wrapText="1"/>
    </xf>
    <xf numFmtId="0" fontId="2" fillId="0" borderId="11" xfId="0" applyNumberFormat="1" applyFont="1" applyBorder="1" applyAlignment="1">
      <alignment vertical="top" wrapText="1"/>
    </xf>
    <xf numFmtId="0" fontId="2" fillId="0" borderId="0" xfId="0" applyFont="1" applyFill="1" applyAlignment="1">
      <alignment horizontal="center" vertical="center"/>
    </xf>
    <xf numFmtId="0" fontId="3" fillId="0" borderId="25" xfId="0" applyFont="1" applyBorder="1" applyAlignment="1">
      <alignment horizontal="center" vertical="top"/>
    </xf>
    <xf numFmtId="0" fontId="18" fillId="5" borderId="0" xfId="0" applyFont="1" applyFill="1" applyBorder="1" applyAlignment="1" applyProtection="1">
      <alignment/>
      <protection locked="0"/>
    </xf>
    <xf numFmtId="0" fontId="18" fillId="5" borderId="0" xfId="0" applyFont="1" applyFill="1" applyBorder="1" applyAlignment="1" applyProtection="1">
      <alignment horizontal="center"/>
      <protection locked="0"/>
    </xf>
    <xf numFmtId="0" fontId="9" fillId="5" borderId="0" xfId="0" applyFont="1" applyFill="1" applyBorder="1" applyAlignment="1" applyProtection="1">
      <alignment horizontal="center" vertical="center"/>
      <protection locked="0"/>
    </xf>
    <xf numFmtId="0" fontId="34"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protection locked="0"/>
    </xf>
    <xf numFmtId="0" fontId="1" fillId="0" borderId="1" xfId="0" applyFont="1" applyBorder="1" applyAlignment="1">
      <alignment wrapText="1"/>
    </xf>
    <xf numFmtId="0" fontId="1" fillId="0" borderId="1" xfId="0" applyFont="1" applyBorder="1" applyAlignment="1">
      <alignment/>
    </xf>
    <xf numFmtId="0" fontId="0" fillId="0" borderId="1" xfId="0" applyBorder="1" applyAlignment="1">
      <alignment/>
    </xf>
    <xf numFmtId="0" fontId="45" fillId="0" borderId="0" xfId="0" applyFont="1" applyAlignment="1">
      <alignment horizontal="right"/>
    </xf>
    <xf numFmtId="0" fontId="9" fillId="0" borderId="38" xfId="0" applyFont="1" applyBorder="1" applyAlignment="1">
      <alignment horizontal="center" vertical="center"/>
    </xf>
    <xf numFmtId="0" fontId="5" fillId="0" borderId="2" xfId="0" applyFont="1" applyFill="1" applyBorder="1" applyAlignment="1">
      <alignment horizontal="center" vertical="top"/>
    </xf>
    <xf numFmtId="0" fontId="9" fillId="0" borderId="37" xfId="0" applyFont="1" applyBorder="1" applyAlignment="1">
      <alignment horizontal="center" vertical="center"/>
    </xf>
    <xf numFmtId="0" fontId="5" fillId="0" borderId="2" xfId="0" applyFont="1" applyBorder="1" applyAlignment="1">
      <alignment horizontal="left" vertical="center" wrapText="1"/>
    </xf>
    <xf numFmtId="0" fontId="16" fillId="0" borderId="2" xfId="0" applyFont="1" applyFill="1" applyBorder="1" applyAlignment="1">
      <alignment horizontal="left" vertical="center" wrapText="1"/>
    </xf>
    <xf numFmtId="0" fontId="9" fillId="0" borderId="2" xfId="0" applyFont="1" applyFill="1" applyBorder="1" applyAlignment="1">
      <alignment horizontal="left" vertical="center" wrapText="1" indent="7"/>
    </xf>
    <xf numFmtId="0" fontId="5" fillId="0" borderId="2" xfId="0" applyFont="1" applyFill="1" applyBorder="1" applyAlignment="1">
      <alignment horizontal="center" vertical="center"/>
    </xf>
    <xf numFmtId="0" fontId="16" fillId="0" borderId="2" xfId="0" applyFont="1" applyFill="1" applyBorder="1" applyAlignment="1">
      <alignment horizontal="left" vertical="center" wrapText="1" indent="5"/>
    </xf>
    <xf numFmtId="0" fontId="16" fillId="0" borderId="10" xfId="0" applyFont="1" applyFill="1" applyBorder="1" applyAlignment="1">
      <alignment horizontal="left" vertical="center" wrapText="1" indent="5"/>
    </xf>
    <xf numFmtId="0" fontId="0" fillId="0" borderId="0" xfId="0" applyFont="1" applyAlignment="1" applyProtection="1">
      <alignment/>
      <protection locked="0"/>
    </xf>
    <xf numFmtId="0" fontId="18" fillId="0" borderId="1" xfId="0" applyFont="1" applyBorder="1" applyAlignment="1" applyProtection="1">
      <alignment horizontal="center"/>
      <protection locked="0"/>
    </xf>
    <xf numFmtId="0" fontId="38" fillId="0" borderId="54" xfId="0" applyFont="1" applyFill="1" applyBorder="1" applyAlignment="1">
      <alignment vertical="top" wrapText="1"/>
    </xf>
    <xf numFmtId="0" fontId="25" fillId="0" borderId="1" xfId="0" applyFont="1" applyBorder="1" applyAlignment="1">
      <alignment horizontal="left"/>
    </xf>
    <xf numFmtId="0" fontId="18" fillId="0" borderId="1" xfId="0" applyFont="1" applyBorder="1" applyAlignment="1" applyProtection="1">
      <alignment horizontal="left"/>
      <protection locked="0"/>
    </xf>
    <xf numFmtId="0" fontId="19" fillId="0" borderId="0" xfId="0" applyFont="1" applyBorder="1" applyAlignment="1">
      <alignment horizontal="left" vertical="top"/>
    </xf>
    <xf numFmtId="0" fontId="15" fillId="4" borderId="0" xfId="0" applyFont="1" applyFill="1" applyAlignment="1">
      <alignment horizontal="center" vertical="center"/>
    </xf>
    <xf numFmtId="0" fontId="15" fillId="4" borderId="0" xfId="0" applyFont="1" applyFill="1" applyAlignment="1">
      <alignment/>
    </xf>
    <xf numFmtId="0" fontId="19"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19" fillId="0" borderId="1" xfId="0" applyFont="1" applyBorder="1" applyAlignment="1">
      <alignment horizontal="left" vertical="top"/>
    </xf>
    <xf numFmtId="0" fontId="18" fillId="12" borderId="0" xfId="0" applyFont="1" applyFill="1" applyAlignment="1">
      <alignment horizontal="center"/>
    </xf>
    <xf numFmtId="0" fontId="37" fillId="0" borderId="0" xfId="0" applyFont="1" applyFill="1" applyAlignment="1">
      <alignment horizontal="center"/>
    </xf>
    <xf numFmtId="0" fontId="0" fillId="0" borderId="0" xfId="0" applyBorder="1" applyAlignment="1">
      <alignment/>
    </xf>
    <xf numFmtId="0" fontId="0" fillId="0" borderId="0" xfId="0" applyFont="1" applyFill="1" applyAlignment="1">
      <alignment/>
    </xf>
    <xf numFmtId="0" fontId="19"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19" fillId="0" borderId="0" xfId="0" applyFont="1" applyBorder="1" applyAlignment="1">
      <alignment vertical="top" wrapText="1"/>
    </xf>
    <xf numFmtId="0" fontId="0" fillId="0" borderId="0" xfId="0" applyAlignment="1">
      <alignment/>
    </xf>
    <xf numFmtId="0" fontId="0" fillId="0" borderId="0" xfId="0" applyBorder="1" applyAlignment="1">
      <alignment vertical="top" wrapText="1"/>
    </xf>
    <xf numFmtId="0" fontId="19" fillId="0" borderId="0" xfId="0" applyFont="1" applyBorder="1" applyAlignment="1">
      <alignment horizontal="left" vertical="top" wrapText="1"/>
    </xf>
    <xf numFmtId="0" fontId="2"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applyAlignment="1">
      <alignment wrapText="1"/>
    </xf>
    <xf numFmtId="0" fontId="3" fillId="0" borderId="55" xfId="0" applyFont="1" applyFill="1" applyBorder="1" applyAlignment="1">
      <alignment horizontal="left" vertical="center" wrapText="1" indent="3"/>
    </xf>
    <xf numFmtId="0" fontId="3" fillId="0" borderId="56" xfId="0" applyFont="1" applyFill="1" applyBorder="1" applyAlignment="1">
      <alignment horizontal="left" vertical="center" wrapText="1" indent="3"/>
    </xf>
    <xf numFmtId="0" fontId="3" fillId="0" borderId="57" xfId="0" applyFont="1" applyFill="1" applyBorder="1" applyAlignment="1">
      <alignment horizontal="left" vertical="center" wrapText="1" indent="3"/>
    </xf>
    <xf numFmtId="0" fontId="4" fillId="4" borderId="0" xfId="0" applyFont="1" applyFill="1" applyAlignment="1">
      <alignment horizontal="center" wrapText="1"/>
    </xf>
    <xf numFmtId="0" fontId="2" fillId="0" borderId="0" xfId="0" applyFont="1" applyFill="1" applyBorder="1" applyAlignment="1">
      <alignment vertical="top"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5" fillId="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4"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lignment horizontal="left" vertical="top" wrapText="1"/>
    </xf>
    <xf numFmtId="0" fontId="18" fillId="0" borderId="0" xfId="0" applyFont="1" applyAlignment="1">
      <alignment vertical="top" wrapText="1"/>
    </xf>
    <xf numFmtId="0" fontId="2" fillId="0" borderId="55"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57" xfId="0" applyFont="1" applyFill="1" applyBorder="1" applyAlignment="1">
      <alignment horizontal="left" vertical="top" wrapText="1"/>
    </xf>
    <xf numFmtId="0" fontId="4" fillId="4" borderId="0" xfId="0" applyFont="1" applyFill="1" applyAlignment="1">
      <alignment horizontal="center" vertical="center"/>
    </xf>
    <xf numFmtId="0" fontId="2" fillId="0" borderId="26" xfId="0" applyFont="1" applyFill="1" applyBorder="1" applyAlignment="1">
      <alignment horizontal="left" vertical="top" wrapText="1"/>
    </xf>
    <xf numFmtId="0" fontId="0" fillId="0" borderId="26" xfId="0" applyFont="1" applyFill="1" applyBorder="1" applyAlignment="1">
      <alignment vertical="top" wrapText="1"/>
    </xf>
    <xf numFmtId="0" fontId="22" fillId="0" borderId="0" xfId="0" applyFont="1" applyFill="1" applyBorder="1" applyAlignment="1" applyProtection="1">
      <alignment horizontal="left" wrapText="1"/>
      <protection locked="0"/>
    </xf>
    <xf numFmtId="0" fontId="4" fillId="4" borderId="0" xfId="0" applyFont="1" applyFill="1" applyAlignment="1">
      <alignment horizontal="left"/>
    </xf>
    <xf numFmtId="0" fontId="38" fillId="0" borderId="0" xfId="0" applyFont="1" applyFill="1" applyBorder="1" applyAlignment="1">
      <alignment horizontal="center" vertical="center" wrapText="1"/>
    </xf>
    <xf numFmtId="0" fontId="9" fillId="9" borderId="55" xfId="0" applyFont="1" applyFill="1" applyBorder="1" applyAlignment="1">
      <alignment horizontal="center" vertical="center" wrapText="1"/>
    </xf>
    <xf numFmtId="0" fontId="9" fillId="9" borderId="56" xfId="0" applyFont="1" applyFill="1" applyBorder="1" applyAlignment="1">
      <alignment horizontal="center" vertical="center" wrapText="1"/>
    </xf>
    <xf numFmtId="0" fontId="9" fillId="9" borderId="57" xfId="0" applyFont="1" applyFill="1" applyBorder="1" applyAlignment="1">
      <alignment horizontal="center" vertical="center" wrapText="1"/>
    </xf>
    <xf numFmtId="0" fontId="9" fillId="8" borderId="55" xfId="0" applyFont="1" applyFill="1" applyBorder="1" applyAlignment="1">
      <alignment horizontal="center" vertical="center" wrapText="1"/>
    </xf>
    <xf numFmtId="0" fontId="9" fillId="8" borderId="57" xfId="0" applyFont="1" applyFill="1" applyBorder="1" applyAlignment="1">
      <alignment horizontal="center" vertical="center" wrapText="1"/>
    </xf>
    <xf numFmtId="0" fontId="9" fillId="7" borderId="55" xfId="0" applyFont="1" applyFill="1" applyBorder="1" applyAlignment="1">
      <alignment horizontal="center"/>
    </xf>
    <xf numFmtId="0" fontId="9" fillId="7" borderId="56" xfId="0" applyFont="1" applyFill="1" applyBorder="1" applyAlignment="1">
      <alignment horizontal="center"/>
    </xf>
    <xf numFmtId="0" fontId="9" fillId="7" borderId="57" xfId="0" applyFont="1" applyFill="1" applyBorder="1" applyAlignment="1">
      <alignment horizontal="center"/>
    </xf>
    <xf numFmtId="0" fontId="51" fillId="2" borderId="0" xfId="0" applyFont="1" applyFill="1" applyAlignment="1">
      <alignment horizontal="left" wrapText="1"/>
    </xf>
    <xf numFmtId="0" fontId="52" fillId="2" borderId="1" xfId="0" applyFont="1" applyFill="1" applyBorder="1" applyAlignment="1">
      <alignment horizontal="left" wrapText="1"/>
    </xf>
    <xf numFmtId="0" fontId="0" fillId="0" borderId="5"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0" fillId="0" borderId="47"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9" fillId="0" borderId="0" xfId="0" applyFont="1" applyFill="1" applyAlignment="1">
      <alignment horizontal="left" vertical="top" wrapText="1"/>
    </xf>
    <xf numFmtId="0" fontId="0" fillId="0" borderId="58" xfId="0" applyFont="1" applyBorder="1" applyAlignment="1" applyProtection="1">
      <alignment horizontal="left" wrapText="1"/>
      <protection locked="0"/>
    </xf>
    <xf numFmtId="0" fontId="0" fillId="0" borderId="59" xfId="0" applyFont="1" applyBorder="1" applyAlignment="1" applyProtection="1">
      <alignment horizontal="left" wrapText="1"/>
      <protection locked="0"/>
    </xf>
    <xf numFmtId="0" fontId="0" fillId="0" borderId="60" xfId="0" applyFont="1" applyBorder="1" applyAlignment="1" applyProtection="1">
      <alignment horizontal="left" wrapText="1"/>
      <protection locked="0"/>
    </xf>
    <xf numFmtId="0" fontId="9" fillId="8" borderId="56" xfId="0" applyFont="1" applyFill="1" applyBorder="1" applyAlignment="1">
      <alignment horizontal="center" vertical="center" wrapText="1"/>
    </xf>
    <xf numFmtId="0" fontId="0" fillId="0" borderId="0" xfId="0" applyFont="1" applyBorder="1" applyAlignment="1">
      <alignment/>
    </xf>
    <xf numFmtId="0" fontId="0" fillId="0" borderId="0" xfId="0" applyAlignment="1">
      <alignment/>
    </xf>
    <xf numFmtId="0" fontId="0" fillId="0" borderId="45" xfId="0" applyFont="1" applyBorder="1" applyAlignment="1" applyProtection="1">
      <alignment horizontal="left" wrapText="1"/>
      <protection locked="0"/>
    </xf>
    <xf numFmtId="0" fontId="0" fillId="0" borderId="48"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0" fillId="0" borderId="56" xfId="0" applyBorder="1" applyAlignment="1">
      <alignment/>
    </xf>
    <xf numFmtId="0" fontId="0" fillId="0" borderId="57" xfId="0" applyBorder="1" applyAlignment="1">
      <alignment/>
    </xf>
    <xf numFmtId="0" fontId="0" fillId="2" borderId="61"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9" fillId="0" borderId="0" xfId="0" applyFont="1" applyAlignment="1">
      <alignment horizontal="left" vertical="top" wrapText="1"/>
    </xf>
    <xf numFmtId="0" fontId="3" fillId="2" borderId="55" xfId="0" applyFont="1" applyFill="1" applyBorder="1" applyAlignment="1">
      <alignment horizontal="center"/>
    </xf>
    <xf numFmtId="0" fontId="3" fillId="2" borderId="56" xfId="0" applyFont="1" applyFill="1" applyBorder="1" applyAlignment="1">
      <alignment horizontal="center"/>
    </xf>
    <xf numFmtId="0" fontId="3" fillId="2" borderId="57" xfId="0" applyFont="1" applyFill="1" applyBorder="1" applyAlignment="1">
      <alignment horizontal="center"/>
    </xf>
    <xf numFmtId="0" fontId="55" fillId="2" borderId="0" xfId="0" applyFont="1" applyFill="1" applyAlignment="1">
      <alignment horizontal="left" wrapText="1"/>
    </xf>
    <xf numFmtId="0" fontId="56" fillId="2" borderId="1" xfId="0" applyFont="1" applyFill="1" applyBorder="1" applyAlignment="1">
      <alignment horizontal="left" wrapText="1"/>
    </xf>
    <xf numFmtId="0" fontId="2" fillId="0" borderId="5"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2" fillId="0" borderId="19" xfId="0" applyFont="1" applyBorder="1" applyAlignment="1" applyProtection="1">
      <alignment horizontal="left" wrapText="1"/>
      <protection locked="0"/>
    </xf>
    <xf numFmtId="0" fontId="0" fillId="0" borderId="58" xfId="0" applyBorder="1" applyAlignment="1" applyProtection="1">
      <alignment horizontal="left"/>
      <protection locked="0"/>
    </xf>
    <xf numFmtId="0" fontId="0" fillId="0" borderId="59" xfId="0" applyBorder="1" applyAlignment="1" applyProtection="1">
      <alignment horizontal="left"/>
      <protection locked="0"/>
    </xf>
    <xf numFmtId="0" fontId="0" fillId="0" borderId="60" xfId="0" applyBorder="1" applyAlignment="1" applyProtection="1">
      <alignment horizontal="left"/>
      <protection locked="0"/>
    </xf>
    <xf numFmtId="0" fontId="2" fillId="0" borderId="45" xfId="0" applyFont="1" applyBorder="1" applyAlignment="1" applyProtection="1">
      <alignment horizontal="left" wrapText="1"/>
      <protection locked="0"/>
    </xf>
    <xf numFmtId="0" fontId="2" fillId="0" borderId="48"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2" fillId="0" borderId="49"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59" xfId="0" applyFont="1" applyBorder="1" applyAlignment="1" applyProtection="1">
      <alignment horizontal="left" wrapText="1"/>
      <protection locked="0"/>
    </xf>
    <xf numFmtId="0" fontId="2" fillId="0" borderId="60" xfId="0" applyFont="1" applyBorder="1" applyAlignment="1" applyProtection="1">
      <alignment horizontal="left" wrapText="1"/>
      <protection locked="0"/>
    </xf>
    <xf numFmtId="0" fontId="9" fillId="9" borderId="6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63" xfId="0" applyFont="1" applyFill="1" applyBorder="1" applyAlignment="1">
      <alignment horizontal="center" vertical="center" wrapText="1"/>
    </xf>
    <xf numFmtId="0" fontId="9" fillId="9" borderId="64"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65"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40" fillId="0" borderId="43" xfId="0" applyFont="1" applyFill="1" applyBorder="1" applyAlignment="1">
      <alignment horizontal="center" vertical="top" wrapText="1"/>
    </xf>
    <xf numFmtId="0" fontId="40" fillId="0" borderId="0" xfId="0" applyFont="1" applyFill="1" applyAlignment="1">
      <alignment horizontal="center" vertical="top" wrapText="1"/>
    </xf>
    <xf numFmtId="0" fontId="9" fillId="4" borderId="6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13" borderId="55" xfId="0" applyFont="1" applyFill="1" applyBorder="1" applyAlignment="1">
      <alignment horizontal="center" vertical="top" wrapText="1"/>
    </xf>
    <xf numFmtId="0" fontId="9" fillId="13" borderId="56" xfId="0" applyFont="1" applyFill="1" applyBorder="1" applyAlignment="1">
      <alignment horizontal="center" vertical="top" wrapText="1"/>
    </xf>
    <xf numFmtId="0" fontId="9" fillId="13" borderId="57" xfId="0" applyFont="1" applyFill="1" applyBorder="1" applyAlignment="1">
      <alignment horizontal="center" vertical="top" wrapText="1"/>
    </xf>
    <xf numFmtId="0" fontId="9" fillId="13" borderId="62" xfId="0" applyFont="1" applyFill="1" applyBorder="1" applyAlignment="1">
      <alignment horizontal="center" vertical="top" wrapText="1"/>
    </xf>
    <xf numFmtId="0" fontId="9" fillId="13" borderId="3" xfId="0" applyFont="1" applyFill="1" applyBorder="1" applyAlignment="1">
      <alignment horizontal="center" vertical="top" wrapText="1"/>
    </xf>
    <xf numFmtId="0" fontId="9" fillId="13" borderId="63" xfId="0" applyFont="1" applyFill="1" applyBorder="1" applyAlignment="1">
      <alignment horizontal="center" vertical="top" wrapText="1"/>
    </xf>
    <xf numFmtId="0" fontId="9" fillId="13" borderId="64" xfId="0" applyFont="1" applyFill="1" applyBorder="1" applyAlignment="1">
      <alignment horizontal="center" vertical="top" wrapText="1"/>
    </xf>
    <xf numFmtId="0" fontId="9" fillId="13" borderId="1" xfId="0" applyFont="1" applyFill="1" applyBorder="1" applyAlignment="1">
      <alignment horizontal="center" vertical="top" wrapText="1"/>
    </xf>
    <xf numFmtId="0" fontId="9" fillId="13" borderId="65" xfId="0" applyFont="1" applyFill="1" applyBorder="1" applyAlignment="1">
      <alignment horizontal="center" vertical="top" wrapText="1"/>
    </xf>
    <xf numFmtId="0" fontId="40" fillId="0" borderId="43" xfId="0" applyFont="1" applyFill="1" applyBorder="1" applyAlignment="1">
      <alignment horizontal="center" wrapText="1"/>
    </xf>
    <xf numFmtId="0" fontId="40" fillId="0" borderId="0" xfId="0" applyFont="1" applyFill="1" applyBorder="1" applyAlignment="1">
      <alignment horizontal="center" wrapText="1"/>
    </xf>
    <xf numFmtId="0" fontId="9" fillId="13" borderId="6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63" xfId="0" applyFont="1" applyFill="1" applyBorder="1" applyAlignment="1">
      <alignment horizontal="center" vertical="center" wrapText="1"/>
    </xf>
    <xf numFmtId="0" fontId="9" fillId="13" borderId="43" xfId="0" applyFont="1" applyFill="1" applyBorder="1" applyAlignment="1">
      <alignment horizontal="center" vertical="center" wrapText="1"/>
    </xf>
    <xf numFmtId="0" fontId="9" fillId="13" borderId="0" xfId="0" applyFont="1" applyFill="1" applyBorder="1" applyAlignment="1">
      <alignment horizontal="center" vertical="center" wrapText="1"/>
    </xf>
    <xf numFmtId="0" fontId="9" fillId="13" borderId="54" xfId="0" applyFont="1" applyFill="1" applyBorder="1" applyAlignment="1">
      <alignment horizontal="center" vertical="center" wrapText="1"/>
    </xf>
    <xf numFmtId="0" fontId="9" fillId="13" borderId="64"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65" xfId="0" applyFont="1" applyFill="1" applyBorder="1" applyAlignment="1">
      <alignment horizontal="center" vertical="center" wrapText="1"/>
    </xf>
    <xf numFmtId="0" fontId="39" fillId="0" borderId="0" xfId="0" applyFont="1" applyFill="1" applyAlignment="1">
      <alignment horizontal="left" vertical="top" wrapText="1"/>
    </xf>
    <xf numFmtId="0" fontId="5" fillId="2" borderId="66"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66" xfId="0" applyFont="1" applyFill="1" applyBorder="1" applyAlignment="1">
      <alignment horizontal="left" vertical="center"/>
    </xf>
    <xf numFmtId="0" fontId="5" fillId="2" borderId="19" xfId="0" applyFont="1" applyFill="1" applyBorder="1" applyAlignment="1">
      <alignment horizontal="left" vertical="center"/>
    </xf>
    <xf numFmtId="0" fontId="5" fillId="2" borderId="68" xfId="0" applyFont="1" applyFill="1" applyBorder="1" applyAlignment="1">
      <alignment horizontal="left" vertical="center"/>
    </xf>
    <xf numFmtId="0" fontId="5" fillId="2" borderId="59" xfId="0" applyFont="1" applyFill="1" applyBorder="1" applyAlignment="1">
      <alignment horizontal="left" vertical="center"/>
    </xf>
    <xf numFmtId="0" fontId="5" fillId="2" borderId="69" xfId="0" applyFont="1" applyFill="1" applyBorder="1" applyAlignment="1">
      <alignment horizontal="left" vertical="center"/>
    </xf>
    <xf numFmtId="0" fontId="5" fillId="2" borderId="37" xfId="0" applyFont="1" applyFill="1" applyBorder="1" applyAlignment="1">
      <alignment horizontal="left" vertical="center"/>
    </xf>
    <xf numFmtId="0" fontId="3" fillId="2" borderId="55" xfId="0" applyFont="1" applyFill="1" applyBorder="1" applyAlignment="1">
      <alignment horizontal="left" wrapText="1"/>
    </xf>
    <xf numFmtId="0" fontId="3" fillId="2" borderId="56" xfId="0" applyFont="1" applyFill="1" applyBorder="1" applyAlignment="1">
      <alignment horizontal="left" wrapText="1"/>
    </xf>
    <xf numFmtId="0" fontId="3" fillId="2" borderId="57" xfId="0" applyFont="1" applyFill="1" applyBorder="1" applyAlignment="1">
      <alignment horizontal="left" wrapText="1"/>
    </xf>
    <xf numFmtId="0" fontId="3" fillId="2" borderId="55" xfId="0" applyFont="1" applyFill="1" applyBorder="1" applyAlignment="1" applyProtection="1">
      <alignment horizontal="left" wrapText="1"/>
      <protection locked="0"/>
    </xf>
    <xf numFmtId="0" fontId="3" fillId="2" borderId="56" xfId="0" applyFont="1" applyFill="1" applyBorder="1" applyAlignment="1" applyProtection="1">
      <alignment horizontal="left" wrapText="1"/>
      <protection locked="0"/>
    </xf>
    <xf numFmtId="0" fontId="3" fillId="2" borderId="57" xfId="0" applyFont="1" applyFill="1" applyBorder="1" applyAlignment="1" applyProtection="1">
      <alignment horizontal="left" wrapText="1"/>
      <protection locked="0"/>
    </xf>
    <xf numFmtId="0" fontId="2" fillId="0" borderId="55" xfId="0" applyFont="1" applyBorder="1" applyAlignment="1">
      <alignment horizontal="left" wrapText="1"/>
    </xf>
    <xf numFmtId="0" fontId="2" fillId="0" borderId="56" xfId="0" applyFont="1" applyBorder="1" applyAlignment="1">
      <alignment horizontal="left" wrapText="1"/>
    </xf>
    <xf numFmtId="0" fontId="2" fillId="0" borderId="57" xfId="0" applyFont="1" applyBorder="1" applyAlignment="1">
      <alignment horizontal="left" wrapText="1"/>
    </xf>
    <xf numFmtId="0" fontId="9" fillId="0" borderId="5" xfId="0" applyFont="1" applyBorder="1" applyAlignment="1" applyProtection="1">
      <alignment wrapText="1"/>
      <protection locked="0"/>
    </xf>
    <xf numFmtId="0" fontId="9" fillId="0" borderId="19" xfId="0" applyFont="1" applyBorder="1" applyAlignment="1" applyProtection="1">
      <alignment wrapText="1"/>
      <protection locked="0"/>
    </xf>
    <xf numFmtId="0" fontId="9" fillId="0" borderId="47" xfId="0" applyFont="1" applyBorder="1" applyAlignment="1" applyProtection="1">
      <alignment wrapText="1"/>
      <protection locked="0"/>
    </xf>
    <xf numFmtId="0" fontId="0" fillId="0" borderId="19" xfId="0" applyBorder="1" applyAlignment="1" applyProtection="1">
      <alignment wrapText="1"/>
      <protection locked="0"/>
    </xf>
    <xf numFmtId="0" fontId="0" fillId="0" borderId="47" xfId="0" applyBorder="1" applyAlignment="1" applyProtection="1">
      <alignment wrapText="1"/>
      <protection locked="0"/>
    </xf>
    <xf numFmtId="0" fontId="9" fillId="0" borderId="45" xfId="0" applyFont="1" applyBorder="1" applyAlignment="1" applyProtection="1">
      <alignment wrapText="1"/>
      <protection locked="0"/>
    </xf>
    <xf numFmtId="0" fontId="0" fillId="0" borderId="48" xfId="0" applyBorder="1" applyAlignment="1" applyProtection="1">
      <alignment wrapText="1"/>
      <protection locked="0"/>
    </xf>
    <xf numFmtId="0" fontId="0" fillId="0" borderId="49" xfId="0" applyBorder="1" applyAlignment="1" applyProtection="1">
      <alignment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lu_land_tot_21" xfId="21"/>
    <cellStyle name="Normal_Sheet1" xfId="22"/>
    <cellStyle name="Percent" xfId="23"/>
  </cellStyles>
  <dxfs count="2">
    <dxf>
      <font>
        <color rgb="FFFF0000"/>
      </font>
      <border/>
    </dxf>
    <dxf>
      <font>
        <b val="0"/>
        <i val="0"/>
        <color rgb="FFFF000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247650</xdr:colOff>
      <xdr:row>5</xdr:row>
      <xdr:rowOff>200025</xdr:rowOff>
    </xdr:to>
    <xdr:pic>
      <xdr:nvPicPr>
        <xdr:cNvPr id="2" name="Picture 5"/>
        <xdr:cNvPicPr preferRelativeResize="1">
          <a:picLocks noChangeAspect="1"/>
        </xdr:cNvPicPr>
      </xdr:nvPicPr>
      <xdr:blipFill>
        <a:blip r:embed="rId2"/>
        <a:stretch>
          <a:fillRect/>
        </a:stretch>
      </xdr:blipFill>
      <xdr:spPr>
        <a:xfrm>
          <a:off x="6562725" y="152400"/>
          <a:ext cx="7429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22</xdr:row>
      <xdr:rowOff>304800</xdr:rowOff>
    </xdr:from>
    <xdr:to>
      <xdr:col>13</xdr:col>
      <xdr:colOff>0</xdr:colOff>
      <xdr:row>22</xdr:row>
      <xdr:rowOff>304800</xdr:rowOff>
    </xdr:to>
    <xdr:sp>
      <xdr:nvSpPr>
        <xdr:cNvPr id="1" name="Line 4"/>
        <xdr:cNvSpPr>
          <a:spLocks/>
        </xdr:cNvSpPr>
      </xdr:nvSpPr>
      <xdr:spPr>
        <a:xfrm flipV="1">
          <a:off x="7115175" y="640080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2" name="Line 7"/>
        <xdr:cNvSpPr>
          <a:spLocks/>
        </xdr:cNvSpPr>
      </xdr:nvSpPr>
      <xdr:spPr>
        <a:xfrm flipV="1">
          <a:off x="1581150" y="33147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3" name="Line 8"/>
        <xdr:cNvSpPr>
          <a:spLocks/>
        </xdr:cNvSpPr>
      </xdr:nvSpPr>
      <xdr:spPr>
        <a:xfrm>
          <a:off x="3038475" y="2743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 name="Line 9"/>
        <xdr:cNvSpPr>
          <a:spLocks/>
        </xdr:cNvSpPr>
      </xdr:nvSpPr>
      <xdr:spPr>
        <a:xfrm>
          <a:off x="9963150" y="6362700"/>
          <a:ext cx="9525" cy="2447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5" name="Line 10"/>
        <xdr:cNvSpPr>
          <a:spLocks/>
        </xdr:cNvSpPr>
      </xdr:nvSpPr>
      <xdr:spPr>
        <a:xfrm flipH="1" flipV="1">
          <a:off x="942975" y="4514850"/>
          <a:ext cx="54768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6" name="Line 11"/>
        <xdr:cNvSpPr>
          <a:spLocks/>
        </xdr:cNvSpPr>
      </xdr:nvSpPr>
      <xdr:spPr>
        <a:xfrm>
          <a:off x="7667625" y="641032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7" name="Line 14"/>
        <xdr:cNvSpPr>
          <a:spLocks/>
        </xdr:cNvSpPr>
      </xdr:nvSpPr>
      <xdr:spPr>
        <a:xfrm flipV="1">
          <a:off x="3638550" y="33242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266700</xdr:colOff>
      <xdr:row>22</xdr:row>
      <xdr:rowOff>390525</xdr:rowOff>
    </xdr:from>
    <xdr:to>
      <xdr:col>20</xdr:col>
      <xdr:colOff>266700</xdr:colOff>
      <xdr:row>30</xdr:row>
      <xdr:rowOff>276225</xdr:rowOff>
    </xdr:to>
    <xdr:sp>
      <xdr:nvSpPr>
        <xdr:cNvPr id="8" name="Line 35"/>
        <xdr:cNvSpPr>
          <a:spLocks/>
        </xdr:cNvSpPr>
      </xdr:nvSpPr>
      <xdr:spPr>
        <a:xfrm flipH="1" flipV="1">
          <a:off x="14487525" y="6486525"/>
          <a:ext cx="0" cy="3114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9" name="Line 49"/>
        <xdr:cNvSpPr>
          <a:spLocks/>
        </xdr:cNvSpPr>
      </xdr:nvSpPr>
      <xdr:spPr>
        <a:xfrm flipV="1">
          <a:off x="7210425" y="86868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10" name="Line 56"/>
        <xdr:cNvSpPr>
          <a:spLocks/>
        </xdr:cNvSpPr>
      </xdr:nvSpPr>
      <xdr:spPr>
        <a:xfrm flipV="1">
          <a:off x="16583025" y="9163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11" name="Line 57"/>
        <xdr:cNvSpPr>
          <a:spLocks/>
        </xdr:cNvSpPr>
      </xdr:nvSpPr>
      <xdr:spPr>
        <a:xfrm>
          <a:off x="16583025" y="9334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12" name="Line 73"/>
        <xdr:cNvSpPr>
          <a:spLocks/>
        </xdr:cNvSpPr>
      </xdr:nvSpPr>
      <xdr:spPr>
        <a:xfrm>
          <a:off x="9696450" y="641032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13" name="Line 202"/>
        <xdr:cNvSpPr>
          <a:spLocks/>
        </xdr:cNvSpPr>
      </xdr:nvSpPr>
      <xdr:spPr>
        <a:xfrm>
          <a:off x="3009900" y="19050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14" name="Line 203"/>
        <xdr:cNvSpPr>
          <a:spLocks/>
        </xdr:cNvSpPr>
      </xdr:nvSpPr>
      <xdr:spPr>
        <a:xfrm flipH="1" flipV="1">
          <a:off x="4067175" y="18954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15" name="Line 204"/>
        <xdr:cNvSpPr>
          <a:spLocks/>
        </xdr:cNvSpPr>
      </xdr:nvSpPr>
      <xdr:spPr>
        <a:xfrm flipV="1">
          <a:off x="9972675" y="712470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16" name="Line 205"/>
        <xdr:cNvSpPr>
          <a:spLocks/>
        </xdr:cNvSpPr>
      </xdr:nvSpPr>
      <xdr:spPr>
        <a:xfrm flipH="1">
          <a:off x="2981325" y="373380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17" name="Line 206"/>
        <xdr:cNvSpPr>
          <a:spLocks/>
        </xdr:cNvSpPr>
      </xdr:nvSpPr>
      <xdr:spPr>
        <a:xfrm>
          <a:off x="952500" y="45053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18" name="Line 207"/>
        <xdr:cNvSpPr>
          <a:spLocks/>
        </xdr:cNvSpPr>
      </xdr:nvSpPr>
      <xdr:spPr>
        <a:xfrm>
          <a:off x="1885950" y="45243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19" name="Line 208"/>
        <xdr:cNvSpPr>
          <a:spLocks/>
        </xdr:cNvSpPr>
      </xdr:nvSpPr>
      <xdr:spPr>
        <a:xfrm>
          <a:off x="2933700" y="4524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20" name="Line 209"/>
        <xdr:cNvSpPr>
          <a:spLocks/>
        </xdr:cNvSpPr>
      </xdr:nvSpPr>
      <xdr:spPr>
        <a:xfrm>
          <a:off x="4152900" y="449580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21" name="Line 210"/>
        <xdr:cNvSpPr>
          <a:spLocks/>
        </xdr:cNvSpPr>
      </xdr:nvSpPr>
      <xdr:spPr>
        <a:xfrm>
          <a:off x="5276850" y="45434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22" name="Line 211"/>
        <xdr:cNvSpPr>
          <a:spLocks/>
        </xdr:cNvSpPr>
      </xdr:nvSpPr>
      <xdr:spPr>
        <a:xfrm>
          <a:off x="6419850" y="45148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23" name="Line 212"/>
        <xdr:cNvSpPr>
          <a:spLocks/>
        </xdr:cNvSpPr>
      </xdr:nvSpPr>
      <xdr:spPr>
        <a:xfrm>
          <a:off x="971550" y="58674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24" name="Line 213"/>
        <xdr:cNvSpPr>
          <a:spLocks/>
        </xdr:cNvSpPr>
      </xdr:nvSpPr>
      <xdr:spPr>
        <a:xfrm>
          <a:off x="1914525" y="586740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25" name="Line 214"/>
        <xdr:cNvSpPr>
          <a:spLocks/>
        </xdr:cNvSpPr>
      </xdr:nvSpPr>
      <xdr:spPr>
        <a:xfrm>
          <a:off x="2952750" y="59340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26" name="Line 215"/>
        <xdr:cNvSpPr>
          <a:spLocks/>
        </xdr:cNvSpPr>
      </xdr:nvSpPr>
      <xdr:spPr>
        <a:xfrm>
          <a:off x="4181475" y="59055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27" name="Line 216"/>
        <xdr:cNvSpPr>
          <a:spLocks/>
        </xdr:cNvSpPr>
      </xdr:nvSpPr>
      <xdr:spPr>
        <a:xfrm flipH="1">
          <a:off x="5295900" y="59055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28" name="Line 217"/>
        <xdr:cNvSpPr>
          <a:spLocks/>
        </xdr:cNvSpPr>
      </xdr:nvSpPr>
      <xdr:spPr>
        <a:xfrm>
          <a:off x="6457950" y="5915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29" name="Line 218"/>
        <xdr:cNvSpPr>
          <a:spLocks/>
        </xdr:cNvSpPr>
      </xdr:nvSpPr>
      <xdr:spPr>
        <a:xfrm>
          <a:off x="9696450" y="696277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30" name="Line 219"/>
        <xdr:cNvSpPr>
          <a:spLocks/>
        </xdr:cNvSpPr>
      </xdr:nvSpPr>
      <xdr:spPr>
        <a:xfrm>
          <a:off x="9696450" y="8001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31" name="Line 220"/>
        <xdr:cNvSpPr>
          <a:spLocks/>
        </xdr:cNvSpPr>
      </xdr:nvSpPr>
      <xdr:spPr>
        <a:xfrm>
          <a:off x="9686925" y="877252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32" name="Line 223"/>
        <xdr:cNvSpPr>
          <a:spLocks/>
        </xdr:cNvSpPr>
      </xdr:nvSpPr>
      <xdr:spPr>
        <a:xfrm>
          <a:off x="11858625" y="7134225"/>
          <a:ext cx="0" cy="1390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33" name="Line 224"/>
        <xdr:cNvSpPr>
          <a:spLocks/>
        </xdr:cNvSpPr>
      </xdr:nvSpPr>
      <xdr:spPr>
        <a:xfrm flipV="1">
          <a:off x="11591925" y="71151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34" name="Line 229"/>
        <xdr:cNvSpPr>
          <a:spLocks/>
        </xdr:cNvSpPr>
      </xdr:nvSpPr>
      <xdr:spPr>
        <a:xfrm>
          <a:off x="14497050" y="652462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24</xdr:row>
      <xdr:rowOff>809625</xdr:rowOff>
    </xdr:from>
    <xdr:to>
      <xdr:col>20</xdr:col>
      <xdr:colOff>219075</xdr:colOff>
      <xdr:row>24</xdr:row>
      <xdr:rowOff>809625</xdr:rowOff>
    </xdr:to>
    <xdr:sp>
      <xdr:nvSpPr>
        <xdr:cNvPr id="35" name="Line 230"/>
        <xdr:cNvSpPr>
          <a:spLocks/>
        </xdr:cNvSpPr>
      </xdr:nvSpPr>
      <xdr:spPr>
        <a:xfrm flipV="1">
          <a:off x="13411200" y="7600950"/>
          <a:ext cx="1028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276225</xdr:rowOff>
    </xdr:from>
    <xdr:to>
      <xdr:col>21</xdr:col>
      <xdr:colOff>28575</xdr:colOff>
      <xdr:row>26</xdr:row>
      <xdr:rowOff>276225</xdr:rowOff>
    </xdr:to>
    <xdr:sp>
      <xdr:nvSpPr>
        <xdr:cNvPr id="36" name="Line 231"/>
        <xdr:cNvSpPr>
          <a:spLocks/>
        </xdr:cNvSpPr>
      </xdr:nvSpPr>
      <xdr:spPr>
        <a:xfrm flipV="1">
          <a:off x="14544675" y="815340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37" name="Line 232"/>
        <xdr:cNvSpPr>
          <a:spLocks/>
        </xdr:cNvSpPr>
      </xdr:nvSpPr>
      <xdr:spPr>
        <a:xfrm>
          <a:off x="14516100" y="88582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38" name="Line 233"/>
        <xdr:cNvSpPr>
          <a:spLocks/>
        </xdr:cNvSpPr>
      </xdr:nvSpPr>
      <xdr:spPr>
        <a:xfrm>
          <a:off x="14544675" y="95916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39" name="Line 247"/>
        <xdr:cNvSpPr>
          <a:spLocks/>
        </xdr:cNvSpPr>
      </xdr:nvSpPr>
      <xdr:spPr>
        <a:xfrm flipH="1" flipV="1">
          <a:off x="3819525" y="43243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285750</xdr:colOff>
      <xdr:row>24</xdr:row>
      <xdr:rowOff>571500</xdr:rowOff>
    </xdr:from>
    <xdr:to>
      <xdr:col>21</xdr:col>
      <xdr:colOff>9525</xdr:colOff>
      <xdr:row>24</xdr:row>
      <xdr:rowOff>571500</xdr:rowOff>
    </xdr:to>
    <xdr:sp>
      <xdr:nvSpPr>
        <xdr:cNvPr id="40" name="Line 248"/>
        <xdr:cNvSpPr>
          <a:spLocks/>
        </xdr:cNvSpPr>
      </xdr:nvSpPr>
      <xdr:spPr>
        <a:xfrm>
          <a:off x="14506575" y="736282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V="1">
          <a:off x="4448175" y="6781800"/>
          <a:ext cx="11239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V="1">
          <a:off x="6562725" y="6819900"/>
          <a:ext cx="5143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228600</xdr:colOff>
      <xdr:row>24</xdr:row>
      <xdr:rowOff>0</xdr:rowOff>
    </xdr:from>
    <xdr:to>
      <xdr:col>21</xdr:col>
      <xdr:colOff>228600</xdr:colOff>
      <xdr:row>25</xdr:row>
      <xdr:rowOff>9525</xdr:rowOff>
    </xdr:to>
    <xdr:sp>
      <xdr:nvSpPr>
        <xdr:cNvPr id="3" name="Line 21"/>
        <xdr:cNvSpPr>
          <a:spLocks/>
        </xdr:cNvSpPr>
      </xdr:nvSpPr>
      <xdr:spPr>
        <a:xfrm>
          <a:off x="5781675" y="6391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a:off x="4171950" y="5915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H="1" flipV="1">
          <a:off x="5819775" y="5915025"/>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a:off x="4000500" y="5819775"/>
          <a:ext cx="1647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a:off x="6619875" y="618172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V="1">
          <a:off x="6619875" y="65627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a:off x="6610350" y="58864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5" name="Line 93"/>
        <xdr:cNvSpPr>
          <a:spLocks/>
        </xdr:cNvSpPr>
      </xdr:nvSpPr>
      <xdr:spPr>
        <a:xfrm>
          <a:off x="6629400" y="73342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6" name="Line 94"/>
        <xdr:cNvSpPr>
          <a:spLocks/>
        </xdr:cNvSpPr>
      </xdr:nvSpPr>
      <xdr:spPr>
        <a:xfrm flipV="1">
          <a:off x="8029575" y="650557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7" name="Line 95"/>
        <xdr:cNvSpPr>
          <a:spLocks/>
        </xdr:cNvSpPr>
      </xdr:nvSpPr>
      <xdr:spPr>
        <a:xfrm>
          <a:off x="8305800" y="6505575"/>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8" name="Line 96"/>
        <xdr:cNvSpPr>
          <a:spLocks/>
        </xdr:cNvSpPr>
      </xdr:nvSpPr>
      <xdr:spPr>
        <a:xfrm>
          <a:off x="6781800" y="5857875"/>
          <a:ext cx="9525" cy="1524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9" name="Line 98"/>
        <xdr:cNvSpPr>
          <a:spLocks/>
        </xdr:cNvSpPr>
      </xdr:nvSpPr>
      <xdr:spPr>
        <a:xfrm flipV="1">
          <a:off x="6772275" y="65722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0" name="Line 99"/>
        <xdr:cNvSpPr>
          <a:spLocks/>
        </xdr:cNvSpPr>
      </xdr:nvSpPr>
      <xdr:spPr>
        <a:xfrm>
          <a:off x="5067300" y="5819775"/>
          <a:ext cx="9525" cy="542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V="1">
          <a:off x="6467475" y="6667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a:off x="7067550" y="5991225"/>
          <a:ext cx="0" cy="1543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V="1">
          <a:off x="7048500" y="599122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V="1">
          <a:off x="7077075" y="6362700"/>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a:off x="7077075" y="6696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a:off x="7077075" y="7153275"/>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a:off x="7077075" y="75152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V="1">
          <a:off x="4724400" y="7248525"/>
          <a:ext cx="1143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flipH="1">
          <a:off x="5295900" y="7267575"/>
          <a:ext cx="0" cy="12287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38100</xdr:rowOff>
    </xdr:from>
    <xdr:to>
      <xdr:col>29</xdr:col>
      <xdr:colOff>333375</xdr:colOff>
      <xdr:row>33</xdr:row>
      <xdr:rowOff>38100</xdr:rowOff>
    </xdr:to>
    <xdr:sp>
      <xdr:nvSpPr>
        <xdr:cNvPr id="3" name="Line 17"/>
        <xdr:cNvSpPr>
          <a:spLocks/>
        </xdr:cNvSpPr>
      </xdr:nvSpPr>
      <xdr:spPr>
        <a:xfrm flipV="1">
          <a:off x="6838950" y="7734300"/>
          <a:ext cx="1362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a:off x="8191500" y="6848475"/>
          <a:ext cx="0" cy="1885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a:off x="8172450" y="6867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a:off x="8172450" y="72009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a:off x="8181975" y="78009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a:off x="8201025" y="8448675"/>
          <a:ext cx="2190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V="1">
          <a:off x="8181975" y="8705850"/>
          <a:ext cx="2000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tabSelected="1" zoomScale="90" zoomScaleNormal="90" workbookViewId="0" topLeftCell="A1">
      <selection activeCell="B6" sqref="B6:D6"/>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351" customWidth="1"/>
  </cols>
  <sheetData>
    <row r="1" ht="12.75"/>
    <row r="2" ht="12.75"/>
    <row r="3" ht="12.75"/>
    <row r="4" ht="12.75"/>
    <row r="5" ht="12.75"/>
    <row r="6" ht="22.5" customHeight="1">
      <c r="B6" s="518" t="s">
        <v>529</v>
      </c>
    </row>
    <row r="7" spans="2:12" ht="24.75" customHeight="1">
      <c r="B7" s="612" t="s">
        <v>261</v>
      </c>
      <c r="C7" s="612"/>
      <c r="D7" s="612"/>
      <c r="E7" s="612"/>
      <c r="F7" s="612"/>
      <c r="G7" s="612"/>
      <c r="H7" s="612"/>
      <c r="I7" s="612"/>
      <c r="J7" s="612"/>
      <c r="K7" s="612"/>
      <c r="L7" s="352"/>
    </row>
    <row r="8" spans="2:12" ht="24.75" customHeight="1">
      <c r="B8" s="613" t="s">
        <v>262</v>
      </c>
      <c r="C8" s="613"/>
      <c r="D8" s="613"/>
      <c r="E8" s="613"/>
      <c r="F8" s="613"/>
      <c r="G8" s="613"/>
      <c r="H8" s="613"/>
      <c r="I8" s="613"/>
      <c r="J8" s="613"/>
      <c r="K8" s="613"/>
      <c r="L8" s="352"/>
    </row>
    <row r="10" spans="2:4" ht="18">
      <c r="B10" s="9" t="s">
        <v>263</v>
      </c>
      <c r="C10" s="10"/>
      <c r="D10" s="5"/>
    </row>
    <row r="11" spans="2:4" ht="10.5" customHeight="1">
      <c r="B11" s="6"/>
      <c r="C11" s="5"/>
      <c r="D11" s="5"/>
    </row>
    <row r="12" spans="1:12" s="80" customFormat="1" ht="16.5" customHeight="1">
      <c r="A12" s="51"/>
      <c r="B12" s="606" t="s">
        <v>264</v>
      </c>
      <c r="C12" s="607"/>
      <c r="D12" s="607"/>
      <c r="E12" s="607"/>
      <c r="F12" s="607"/>
      <c r="G12" s="607"/>
      <c r="H12" s="607"/>
      <c r="I12" s="607"/>
      <c r="J12" s="607"/>
      <c r="K12" s="607"/>
      <c r="L12" s="351"/>
    </row>
    <row r="13" spans="2:11" ht="10.5" customHeight="1">
      <c r="B13" s="19"/>
      <c r="C13" s="23"/>
      <c r="D13" s="19"/>
      <c r="F13" s="19"/>
      <c r="G13" s="14"/>
      <c r="H13" s="14"/>
      <c r="I13" s="14"/>
      <c r="J13" s="14"/>
      <c r="K13" s="14"/>
    </row>
    <row r="14" spans="2:11" ht="15.75" customHeight="1">
      <c r="B14" s="30" t="s">
        <v>265</v>
      </c>
      <c r="C14" s="608" t="s">
        <v>266</v>
      </c>
      <c r="D14" s="609"/>
      <c r="E14" s="609"/>
      <c r="F14" s="609"/>
      <c r="G14" s="609"/>
      <c r="H14" s="609"/>
      <c r="I14" s="609"/>
      <c r="J14" s="609"/>
      <c r="K14" s="610"/>
    </row>
    <row r="15" spans="2:11" ht="7.5" customHeight="1">
      <c r="B15" s="29"/>
      <c r="C15" s="619"/>
      <c r="D15" s="621"/>
      <c r="E15" s="621"/>
      <c r="F15" s="621"/>
      <c r="G15" s="621"/>
      <c r="H15" s="621"/>
      <c r="I15" s="621"/>
      <c r="J15" s="621"/>
      <c r="K15" s="614"/>
    </row>
    <row r="16" spans="2:11" ht="15.75" customHeight="1">
      <c r="B16" s="29" t="s">
        <v>267</v>
      </c>
      <c r="C16" s="619" t="s">
        <v>268</v>
      </c>
      <c r="D16" s="621"/>
      <c r="E16" s="621"/>
      <c r="F16" s="621"/>
      <c r="G16" s="621"/>
      <c r="H16" s="621"/>
      <c r="I16" s="621"/>
      <c r="J16" s="621"/>
      <c r="K16" s="614"/>
    </row>
    <row r="17" spans="2:11" ht="7.5" customHeight="1">
      <c r="B17" s="29"/>
      <c r="C17" s="619"/>
      <c r="D17" s="621"/>
      <c r="E17" s="621"/>
      <c r="F17" s="621"/>
      <c r="G17" s="621"/>
      <c r="H17" s="621"/>
      <c r="I17" s="621"/>
      <c r="J17" s="621"/>
      <c r="K17" s="614"/>
    </row>
    <row r="18" spans="2:12" ht="15.75" customHeight="1">
      <c r="B18" s="29" t="s">
        <v>269</v>
      </c>
      <c r="C18" s="619" t="s">
        <v>270</v>
      </c>
      <c r="D18" s="620"/>
      <c r="E18" s="620"/>
      <c r="F18" s="620"/>
      <c r="G18" s="620"/>
      <c r="H18" s="620"/>
      <c r="I18" s="620"/>
      <c r="J18" s="620"/>
      <c r="K18" s="620"/>
      <c r="L18" s="351" t="s">
        <v>631</v>
      </c>
    </row>
    <row r="19" spans="2:11" ht="7.5" customHeight="1">
      <c r="B19" s="29"/>
      <c r="C19" s="616"/>
      <c r="D19" s="617"/>
      <c r="E19" s="617"/>
      <c r="F19" s="617"/>
      <c r="G19" s="617"/>
      <c r="H19" s="617"/>
      <c r="I19" s="617"/>
      <c r="J19" s="617"/>
      <c r="K19" s="618"/>
    </row>
    <row r="20" spans="2:12" ht="15.75" customHeight="1">
      <c r="B20" s="29" t="s">
        <v>271</v>
      </c>
      <c r="C20" s="619" t="s">
        <v>272</v>
      </c>
      <c r="D20" s="620"/>
      <c r="E20" s="620"/>
      <c r="F20" s="620"/>
      <c r="G20" s="620"/>
      <c r="H20" s="620"/>
      <c r="I20" s="620"/>
      <c r="J20" s="620"/>
      <c r="K20" s="620"/>
      <c r="L20" s="351" t="s">
        <v>167</v>
      </c>
    </row>
    <row r="21" spans="2:11" ht="7.5" customHeight="1">
      <c r="B21" s="29"/>
      <c r="C21" s="616"/>
      <c r="D21" s="617"/>
      <c r="E21" s="617"/>
      <c r="F21" s="617"/>
      <c r="G21" s="617"/>
      <c r="H21" s="617"/>
      <c r="I21" s="617"/>
      <c r="J21" s="617"/>
      <c r="K21" s="618"/>
    </row>
    <row r="22" spans="2:12" ht="15.75" customHeight="1">
      <c r="B22" s="29" t="s">
        <v>273</v>
      </c>
      <c r="C22" s="616" t="s">
        <v>274</v>
      </c>
      <c r="D22" s="615"/>
      <c r="E22" s="615"/>
      <c r="F22" s="615"/>
      <c r="G22" s="615"/>
      <c r="H22" s="615"/>
      <c r="I22" s="615"/>
      <c r="J22" s="615"/>
      <c r="K22" s="615"/>
      <c r="L22" s="351" t="s">
        <v>642</v>
      </c>
    </row>
    <row r="23" spans="2:11" ht="7.5" customHeight="1">
      <c r="B23" s="29"/>
      <c r="C23" s="616"/>
      <c r="D23" s="617"/>
      <c r="E23" s="617"/>
      <c r="F23" s="617"/>
      <c r="G23" s="617"/>
      <c r="H23" s="617"/>
      <c r="I23" s="617"/>
      <c r="J23" s="617"/>
      <c r="K23" s="618"/>
    </row>
    <row r="24" spans="2:12" ht="15.75" customHeight="1">
      <c r="B24" s="29" t="s">
        <v>275</v>
      </c>
      <c r="C24" s="616" t="s">
        <v>276</v>
      </c>
      <c r="D24" s="617"/>
      <c r="E24" s="617"/>
      <c r="F24" s="617"/>
      <c r="G24" s="617"/>
      <c r="H24" s="617"/>
      <c r="I24" s="617"/>
      <c r="J24" s="617"/>
      <c r="K24" s="618"/>
      <c r="L24" s="351" t="s">
        <v>568</v>
      </c>
    </row>
    <row r="25" spans="2:11" ht="7.5" customHeight="1">
      <c r="B25" s="29"/>
      <c r="C25" s="616"/>
      <c r="D25" s="617"/>
      <c r="E25" s="617"/>
      <c r="F25" s="617"/>
      <c r="G25" s="617"/>
      <c r="H25" s="617"/>
      <c r="I25" s="617"/>
      <c r="J25" s="617"/>
      <c r="K25" s="618"/>
    </row>
    <row r="26" spans="2:12" ht="15.75" customHeight="1">
      <c r="B26" s="29" t="s">
        <v>277</v>
      </c>
      <c r="C26" s="616" t="s">
        <v>278</v>
      </c>
      <c r="D26" s="615"/>
      <c r="E26" s="615"/>
      <c r="F26" s="615"/>
      <c r="G26" s="615"/>
      <c r="H26" s="615"/>
      <c r="I26" s="615"/>
      <c r="J26" s="615"/>
      <c r="K26" s="615"/>
      <c r="L26" s="351" t="s">
        <v>643</v>
      </c>
    </row>
    <row r="27" spans="2:11" ht="7.5" customHeight="1">
      <c r="B27" s="29"/>
      <c r="C27" s="619"/>
      <c r="D27" s="621"/>
      <c r="E27" s="621"/>
      <c r="F27" s="621"/>
      <c r="G27" s="621"/>
      <c r="H27" s="621"/>
      <c r="I27" s="621"/>
      <c r="J27" s="621"/>
      <c r="K27" s="614"/>
    </row>
    <row r="28" spans="2:11" ht="15.75" customHeight="1">
      <c r="B28" s="29" t="s">
        <v>279</v>
      </c>
      <c r="C28" s="619" t="s">
        <v>280</v>
      </c>
      <c r="D28" s="621"/>
      <c r="E28" s="621"/>
      <c r="F28" s="621"/>
      <c r="G28" s="621"/>
      <c r="H28" s="621"/>
      <c r="I28" s="621"/>
      <c r="J28" s="621"/>
      <c r="K28" s="614"/>
    </row>
    <row r="29" spans="2:11" ht="9.75" customHeight="1">
      <c r="B29" s="29"/>
      <c r="C29" s="622"/>
      <c r="D29" s="622"/>
      <c r="E29" s="622"/>
      <c r="F29" s="622"/>
      <c r="G29" s="622"/>
      <c r="H29" s="622"/>
      <c r="I29" s="622"/>
      <c r="J29" s="622"/>
      <c r="K29" s="622"/>
    </row>
    <row r="30" spans="2:11" ht="15">
      <c r="B30" s="29" t="s">
        <v>281</v>
      </c>
      <c r="C30" s="605" t="s">
        <v>282</v>
      </c>
      <c r="D30" s="605"/>
      <c r="E30" s="605"/>
      <c r="F30" s="605"/>
      <c r="G30" s="605"/>
      <c r="H30" s="605"/>
      <c r="I30" s="605"/>
      <c r="J30" s="605"/>
      <c r="K30" s="605"/>
    </row>
    <row r="31" spans="2:10" ht="7.5" customHeight="1">
      <c r="B31" s="31"/>
      <c r="C31" s="37"/>
      <c r="D31" s="37"/>
      <c r="E31" s="37"/>
      <c r="F31" s="37"/>
      <c r="G31" s="37"/>
      <c r="H31" s="37"/>
      <c r="I31" s="37"/>
      <c r="J31" s="37"/>
    </row>
    <row r="32" spans="2:12" s="15" customFormat="1" ht="15">
      <c r="B32" s="28" t="s">
        <v>283</v>
      </c>
      <c r="C32" s="611" t="s">
        <v>284</v>
      </c>
      <c r="D32" s="611"/>
      <c r="E32" s="611"/>
      <c r="F32" s="611"/>
      <c r="G32" s="611"/>
      <c r="H32" s="611"/>
      <c r="I32" s="611"/>
      <c r="J32" s="611"/>
      <c r="K32" s="611"/>
      <c r="L32" s="353"/>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32:K32"/>
    <mergeCell ref="C28:K28"/>
    <mergeCell ref="C23:K23"/>
    <mergeCell ref="C26:K26"/>
    <mergeCell ref="C25:K25"/>
    <mergeCell ref="C24:K24"/>
    <mergeCell ref="C30:K30"/>
    <mergeCell ref="C29:K29"/>
    <mergeCell ref="C16:K16"/>
    <mergeCell ref="C17:K17"/>
    <mergeCell ref="C18:K18"/>
    <mergeCell ref="B7:K7"/>
    <mergeCell ref="B8:K8"/>
    <mergeCell ref="B12:K12"/>
    <mergeCell ref="C14:K14"/>
    <mergeCell ref="C15:K15"/>
    <mergeCell ref="C19:K19"/>
    <mergeCell ref="C21:K21"/>
    <mergeCell ref="C20:K20"/>
    <mergeCell ref="C27:K27"/>
    <mergeCell ref="C22:K22"/>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CJ86"/>
  <sheetViews>
    <sheetView showGridLines="0" zoomScale="80" zoomScaleNormal="80" zoomScaleSheetLayoutView="80" workbookViewId="0" topLeftCell="C1">
      <selection activeCell="B6" sqref="B6:D6"/>
    </sheetView>
  </sheetViews>
  <sheetFormatPr defaultColWidth="9.33203125" defaultRowHeight="12.75"/>
  <cols>
    <col min="1" max="1" width="4.5" style="424" hidden="1" customWidth="1"/>
    <col min="2" max="2" width="5.83203125" style="398" hidden="1" customWidth="1"/>
    <col min="3" max="3" width="12.33203125" style="0" customWidth="1"/>
    <col min="4" max="4" width="42" style="0" customWidth="1"/>
    <col min="5" max="5" width="16.66015625" style="0" customWidth="1"/>
    <col min="6" max="6" width="9.66015625" style="0" customWidth="1"/>
    <col min="7" max="7" width="1.83203125" style="0" customWidth="1"/>
    <col min="8" max="8" width="7" style="161" customWidth="1"/>
    <col min="9" max="9" width="1.83203125" style="177" customWidth="1"/>
    <col min="10" max="10" width="7" style="165" hidden="1" customWidth="1"/>
    <col min="11" max="11" width="1.83203125" style="177" hidden="1" customWidth="1"/>
    <col min="12" max="12" width="7" style="165" hidden="1" customWidth="1"/>
    <col min="13" max="13" width="1.83203125" style="177" hidden="1" customWidth="1"/>
    <col min="14" max="14" width="7" style="165" hidden="1" customWidth="1"/>
    <col min="15" max="15" width="1.83203125" style="177" hidden="1" customWidth="1"/>
    <col min="16" max="16" width="7" style="165" hidden="1" customWidth="1"/>
    <col min="17" max="17" width="1.83203125" style="177" hidden="1" customWidth="1"/>
    <col min="18" max="18" width="7" style="161" customWidth="1"/>
    <col min="19" max="19" width="1.83203125" style="177" customWidth="1"/>
    <col min="20" max="20" width="7" style="161" customWidth="1"/>
    <col min="21" max="21" width="1.83203125" style="177" customWidth="1"/>
    <col min="22" max="22" width="7" style="161" customWidth="1"/>
    <col min="23" max="23" width="1.83203125" style="177" customWidth="1"/>
    <col min="24" max="24" width="7" style="161" customWidth="1"/>
    <col min="25" max="25" width="1.83203125" style="177" customWidth="1"/>
    <col min="26" max="26" width="7" style="161" customWidth="1"/>
    <col min="27" max="27" width="1.83203125" style="177" customWidth="1"/>
    <col min="28" max="28" width="7" style="161" customWidth="1"/>
    <col min="29" max="29" width="1.83203125" style="177" customWidth="1"/>
    <col min="30" max="30" width="7" style="165" customWidth="1"/>
    <col min="31" max="31" width="1.83203125" style="177" customWidth="1"/>
    <col min="32" max="32" width="7" style="161" customWidth="1"/>
    <col min="33" max="33" width="1.83203125" style="177" customWidth="1"/>
    <col min="34" max="34" width="7" style="161" customWidth="1"/>
    <col min="35" max="35" width="1.83203125" style="177" customWidth="1"/>
    <col min="36" max="36" width="7" style="161" customWidth="1"/>
    <col min="37" max="37" width="1.83203125" style="177" customWidth="1"/>
    <col min="38" max="38" width="1.83203125" style="0" customWidth="1"/>
    <col min="39" max="39" width="4.5" style="307" customWidth="1"/>
    <col min="40" max="40" width="7.66015625" style="307" customWidth="1"/>
    <col min="41" max="41" width="46.16015625" style="307" customWidth="1"/>
    <col min="42" max="42" width="11.66015625" style="307" customWidth="1"/>
    <col min="43" max="43" width="9.33203125" style="307" customWidth="1"/>
    <col min="44" max="44" width="1.83203125" style="307" customWidth="1"/>
    <col min="45" max="45" width="9.33203125" style="307" customWidth="1"/>
    <col min="46" max="46" width="1.83203125" style="307" customWidth="1"/>
    <col min="47" max="47" width="9.33203125" style="307" customWidth="1"/>
    <col min="48" max="48" width="1.83203125" style="307" customWidth="1"/>
    <col min="49" max="49" width="9.33203125" style="307" customWidth="1"/>
    <col min="50" max="50" width="1.83203125" style="307" customWidth="1"/>
    <col min="51" max="51" width="9.33203125" style="307" customWidth="1"/>
    <col min="52" max="52" width="1.83203125" style="307" customWidth="1"/>
    <col min="53" max="53" width="9.33203125" style="307" customWidth="1"/>
    <col min="54" max="54" width="1.83203125" style="307" customWidth="1"/>
    <col min="55" max="55" width="9.33203125" style="307" customWidth="1"/>
    <col min="56" max="56" width="1.83203125" style="307" customWidth="1"/>
    <col min="57" max="57" width="9.33203125" style="307" customWidth="1"/>
    <col min="58" max="58" width="1.83203125" style="307" customWidth="1"/>
    <col min="59" max="59" width="9.33203125" style="307" customWidth="1"/>
    <col min="60" max="60" width="1.83203125" style="307" customWidth="1"/>
    <col min="61" max="61" width="9.33203125" style="307" customWidth="1"/>
    <col min="62" max="62" width="1.83203125" style="307" customWidth="1"/>
    <col min="63" max="63" width="9.33203125" style="307" customWidth="1"/>
    <col min="64" max="64" width="1.83203125" style="307" customWidth="1"/>
    <col min="65" max="65" width="9.33203125" style="307" customWidth="1"/>
    <col min="66" max="66" width="1.83203125" style="307" customWidth="1"/>
    <col min="67" max="67" width="9.33203125" style="307" customWidth="1"/>
    <col min="68" max="68" width="1.83203125" style="307" customWidth="1"/>
    <col min="69" max="69" width="9.33203125" style="307" customWidth="1"/>
    <col min="70" max="70" width="1.83203125" style="307" customWidth="1"/>
    <col min="71" max="71" width="9.33203125" style="307" customWidth="1"/>
    <col min="72" max="72" width="1.83203125" style="307" customWidth="1"/>
    <col min="73" max="73" width="9.33203125" style="307" customWidth="1"/>
    <col min="74" max="74" width="1.83203125" style="307" customWidth="1"/>
  </cols>
  <sheetData>
    <row r="1" spans="1:74" s="80" customFormat="1" ht="15.75" customHeight="1">
      <c r="A1" s="397"/>
      <c r="B1" s="398">
        <v>0</v>
      </c>
      <c r="C1" s="113" t="s">
        <v>263</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6"/>
      <c r="AL1" s="556"/>
      <c r="AM1" s="419"/>
      <c r="AN1" s="437" t="s">
        <v>52</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2.25" customHeight="1">
      <c r="C2" s="80"/>
      <c r="D2" s="80"/>
      <c r="E2" s="1"/>
      <c r="F2" s="1"/>
      <c r="G2" s="172"/>
      <c r="H2" s="195"/>
      <c r="I2" s="173"/>
      <c r="J2" s="195"/>
      <c r="K2" s="173"/>
      <c r="L2" s="195"/>
      <c r="M2" s="173"/>
      <c r="N2" s="195"/>
      <c r="O2" s="173"/>
      <c r="P2" s="195"/>
      <c r="Q2" s="163"/>
      <c r="R2" s="177"/>
      <c r="S2" s="161"/>
      <c r="T2" s="177"/>
      <c r="U2" s="161"/>
      <c r="V2" s="177"/>
      <c r="W2" s="161"/>
      <c r="X2" s="177"/>
      <c r="Y2" s="161"/>
      <c r="Z2" s="177"/>
      <c r="AA2" s="161"/>
      <c r="AB2" s="177"/>
      <c r="AC2" s="165"/>
      <c r="AD2" s="177"/>
      <c r="AE2" s="161"/>
      <c r="AF2" s="177"/>
      <c r="AG2" s="161"/>
      <c r="AH2" s="177"/>
      <c r="AI2" s="161"/>
      <c r="AJ2" s="177"/>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6" s="276" customFormat="1" ht="28.5" customHeight="1">
      <c r="A3" s="400"/>
      <c r="B3" s="400"/>
      <c r="C3" s="127" t="s">
        <v>57</v>
      </c>
      <c r="D3" s="603"/>
      <c r="E3" s="587"/>
      <c r="F3" s="588"/>
      <c r="G3" s="163"/>
      <c r="H3" s="183"/>
      <c r="I3" s="167"/>
      <c r="J3" s="183"/>
      <c r="K3" s="167"/>
      <c r="L3" s="183"/>
      <c r="M3" s="167"/>
      <c r="N3" s="183"/>
      <c r="O3" s="167"/>
      <c r="P3" s="183"/>
      <c r="Q3" s="163"/>
      <c r="R3" s="183"/>
      <c r="S3" s="163"/>
      <c r="T3" s="183"/>
      <c r="U3" s="163"/>
      <c r="V3" s="274"/>
      <c r="W3" s="127" t="s">
        <v>32</v>
      </c>
      <c r="X3" s="188"/>
      <c r="Y3" s="169"/>
      <c r="Z3" s="188"/>
      <c r="AA3" s="171"/>
      <c r="AB3" s="188"/>
      <c r="AC3" s="169"/>
      <c r="AD3" s="188"/>
      <c r="AE3" s="169"/>
      <c r="AF3" s="188"/>
      <c r="AG3" s="169"/>
      <c r="AH3" s="188"/>
      <c r="AI3" s="13"/>
      <c r="AJ3" s="589"/>
      <c r="AK3" s="589"/>
      <c r="AL3" s="547"/>
      <c r="AM3" s="360"/>
      <c r="AN3" s="689" t="s">
        <v>53</v>
      </c>
      <c r="AO3" s="689"/>
      <c r="AP3" s="689"/>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277"/>
      <c r="BX3" s="277"/>
    </row>
    <row r="4" spans="3:74" ht="5.25" customHeight="1">
      <c r="C4" s="239"/>
      <c r="D4" s="239"/>
      <c r="E4" s="18"/>
      <c r="F4" s="18"/>
      <c r="G4" s="18"/>
      <c r="H4" s="183"/>
      <c r="I4" s="183"/>
      <c r="J4" s="167"/>
      <c r="K4" s="183"/>
      <c r="L4" s="167"/>
      <c r="M4" s="183"/>
      <c r="N4" s="167"/>
      <c r="O4" s="183"/>
      <c r="P4" s="167"/>
      <c r="Q4" s="183"/>
      <c r="R4" s="163"/>
      <c r="S4" s="183"/>
      <c r="T4" s="163"/>
      <c r="U4" s="183"/>
      <c r="V4" s="163"/>
      <c r="W4" s="183"/>
      <c r="Y4" s="183"/>
      <c r="Z4" s="163"/>
      <c r="AA4" s="183"/>
      <c r="AB4" s="163"/>
      <c r="AC4" s="183"/>
      <c r="AD4" s="167"/>
      <c r="AE4" s="183"/>
      <c r="AF4" s="163"/>
      <c r="AG4" s="183"/>
      <c r="AH4" s="225"/>
      <c r="AI4" s="183"/>
      <c r="AJ4" s="163"/>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1:74" s="80" customFormat="1" ht="18" customHeight="1">
      <c r="A5" s="397"/>
      <c r="B5" s="398">
        <v>70</v>
      </c>
      <c r="C5" s="682" t="s">
        <v>113</v>
      </c>
      <c r="D5" s="682"/>
      <c r="E5" s="683"/>
      <c r="F5" s="683"/>
      <c r="G5" s="683"/>
      <c r="H5" s="683"/>
      <c r="I5" s="684"/>
      <c r="J5" s="684"/>
      <c r="K5" s="684"/>
      <c r="L5" s="684"/>
      <c r="M5" s="684"/>
      <c r="N5" s="684"/>
      <c r="O5" s="684"/>
      <c r="P5" s="684"/>
      <c r="Q5" s="684"/>
      <c r="R5" s="683"/>
      <c r="S5" s="684"/>
      <c r="T5" s="683"/>
      <c r="U5" s="684"/>
      <c r="V5" s="683"/>
      <c r="W5" s="684"/>
      <c r="X5" s="683"/>
      <c r="Y5" s="684"/>
      <c r="Z5" s="683"/>
      <c r="AA5" s="684"/>
      <c r="AB5" s="683"/>
      <c r="AC5" s="684"/>
      <c r="AD5" s="684"/>
      <c r="AE5" s="684"/>
      <c r="AF5" s="683"/>
      <c r="AG5" s="684"/>
      <c r="AH5" s="683"/>
      <c r="AI5" s="194"/>
      <c r="AJ5" s="234"/>
      <c r="AK5" s="194"/>
      <c r="AL5" s="557"/>
      <c r="AM5" s="419"/>
      <c r="AN5" s="480" t="s">
        <v>54</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s="80" customFormat="1" ht="27" customHeight="1">
      <c r="A6" s="397"/>
      <c r="B6" s="398"/>
      <c r="E6" s="2"/>
      <c r="F6" s="2"/>
      <c r="G6" s="161"/>
      <c r="H6" s="177"/>
      <c r="I6" s="165"/>
      <c r="J6" s="177"/>
      <c r="K6" s="165"/>
      <c r="L6" s="177"/>
      <c r="M6" s="165"/>
      <c r="N6" s="177"/>
      <c r="O6" s="165"/>
      <c r="P6" s="177"/>
      <c r="Q6" s="161"/>
      <c r="R6" s="590" t="s">
        <v>34</v>
      </c>
      <c r="S6" s="161"/>
      <c r="T6" s="262"/>
      <c r="U6" s="263"/>
      <c r="V6" s="262"/>
      <c r="W6" s="264"/>
      <c r="X6" s="262"/>
      <c r="Y6" s="264"/>
      <c r="Z6" s="262"/>
      <c r="AA6" s="265"/>
      <c r="AB6" s="177"/>
      <c r="AC6" s="161"/>
      <c r="AD6" s="349"/>
      <c r="AE6" s="349"/>
      <c r="AF6" s="349"/>
      <c r="AG6" s="349"/>
      <c r="AH6" s="349"/>
      <c r="AI6" s="349"/>
      <c r="AJ6" s="349"/>
      <c r="AK6" s="350" t="s">
        <v>35</v>
      </c>
      <c r="AL6" s="8"/>
      <c r="AM6" s="419"/>
      <c r="AN6" s="690" t="s">
        <v>81</v>
      </c>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0"/>
      <c r="BU6" s="690"/>
      <c r="BV6" s="690"/>
    </row>
    <row r="7" spans="2:74" ht="22.5" customHeight="1">
      <c r="B7" s="398">
        <v>2</v>
      </c>
      <c r="C7" s="64" t="s">
        <v>36</v>
      </c>
      <c r="D7" s="64" t="s">
        <v>37</v>
      </c>
      <c r="E7" s="63" t="s">
        <v>38</v>
      </c>
      <c r="F7" s="136">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N7" s="63" t="s">
        <v>157</v>
      </c>
      <c r="AO7" s="63" t="s">
        <v>164</v>
      </c>
      <c r="AP7" s="63" t="s">
        <v>166</v>
      </c>
      <c r="AQ7" s="136">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2:74" ht="17.25" customHeight="1">
      <c r="B8" s="398">
        <v>5019</v>
      </c>
      <c r="C8" s="750" t="s">
        <v>718</v>
      </c>
      <c r="D8" s="751"/>
      <c r="E8" s="752"/>
      <c r="F8" s="558"/>
      <c r="G8" s="558"/>
      <c r="H8" s="558"/>
      <c r="I8" s="558"/>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8"/>
      <c r="AJ8" s="558"/>
      <c r="AK8" s="558"/>
      <c r="AN8" s="753" t="s">
        <v>258</v>
      </c>
      <c r="AO8" s="753"/>
      <c r="AP8" s="753"/>
      <c r="AQ8" s="520"/>
      <c r="AR8" s="520"/>
      <c r="AS8" s="520"/>
      <c r="AT8" s="520"/>
      <c r="AU8" s="520"/>
      <c r="AV8" s="520"/>
      <c r="AW8" s="520"/>
      <c r="AX8" s="520"/>
      <c r="AY8" s="520"/>
      <c r="AZ8" s="520"/>
      <c r="BA8" s="520"/>
      <c r="BB8" s="520"/>
      <c r="BC8" s="520"/>
      <c r="BD8" s="520"/>
      <c r="BE8" s="520"/>
      <c r="BF8" s="520"/>
      <c r="BG8" s="520"/>
      <c r="BH8" s="520"/>
      <c r="BI8" s="520"/>
      <c r="BJ8" s="520"/>
      <c r="BK8" s="520"/>
      <c r="BL8" s="520"/>
      <c r="BM8" s="520"/>
      <c r="BN8" s="520"/>
      <c r="BO8" s="520"/>
      <c r="BP8" s="520"/>
      <c r="BQ8" s="520"/>
      <c r="BR8" s="520"/>
      <c r="BS8" s="520"/>
      <c r="BT8" s="520"/>
      <c r="BU8" s="520"/>
      <c r="BV8" s="520"/>
    </row>
    <row r="9" spans="1:74" s="80" customFormat="1" ht="13.5" customHeight="1">
      <c r="A9" s="397"/>
      <c r="B9" s="398">
        <v>5011</v>
      </c>
      <c r="C9" s="60"/>
      <c r="D9" s="79" t="s">
        <v>114</v>
      </c>
      <c r="E9" s="60"/>
      <c r="F9" s="142"/>
      <c r="G9" s="192"/>
      <c r="H9" s="147"/>
      <c r="I9" s="192"/>
      <c r="J9" s="147"/>
      <c r="K9" s="192"/>
      <c r="L9" s="147"/>
      <c r="M9" s="192"/>
      <c r="N9" s="147"/>
      <c r="O9" s="192"/>
      <c r="P9" s="142"/>
      <c r="Q9" s="192"/>
      <c r="R9" s="142"/>
      <c r="S9" s="192"/>
      <c r="T9" s="142"/>
      <c r="U9" s="192"/>
      <c r="V9" s="142"/>
      <c r="W9" s="192"/>
      <c r="X9" s="142"/>
      <c r="Y9" s="192"/>
      <c r="Z9" s="142"/>
      <c r="AA9" s="192"/>
      <c r="AB9" s="147"/>
      <c r="AC9" s="192"/>
      <c r="AD9" s="142"/>
      <c r="AE9" s="192"/>
      <c r="AF9" s="142"/>
      <c r="AG9" s="192"/>
      <c r="AH9" s="142"/>
      <c r="AI9" s="192"/>
      <c r="AJ9" s="142"/>
      <c r="AK9" s="192"/>
      <c r="AM9" s="419"/>
      <c r="AN9" s="60"/>
      <c r="AO9" s="79" t="s">
        <v>658</v>
      </c>
      <c r="AP9" s="60"/>
      <c r="AQ9" s="142"/>
      <c r="AR9" s="192"/>
      <c r="AS9" s="142"/>
      <c r="AT9" s="192"/>
      <c r="AU9" s="142"/>
      <c r="AV9" s="192"/>
      <c r="AW9" s="142"/>
      <c r="AX9" s="192"/>
      <c r="AY9" s="142"/>
      <c r="AZ9" s="192"/>
      <c r="BA9" s="142"/>
      <c r="BB9" s="192"/>
      <c r="BC9" s="142"/>
      <c r="BD9" s="192"/>
      <c r="BE9" s="142"/>
      <c r="BF9" s="192"/>
      <c r="BG9" s="142"/>
      <c r="BH9" s="192"/>
      <c r="BI9" s="142"/>
      <c r="BJ9" s="192"/>
      <c r="BK9" s="142"/>
      <c r="BL9" s="192"/>
      <c r="BM9" s="142"/>
      <c r="BN9" s="192"/>
      <c r="BO9" s="142"/>
      <c r="BP9" s="192"/>
      <c r="BQ9" s="142"/>
      <c r="BR9" s="192"/>
      <c r="BS9" s="142"/>
      <c r="BT9" s="192"/>
      <c r="BU9" s="142"/>
      <c r="BV9" s="192"/>
    </row>
    <row r="10" spans="2:74" ht="14.25" customHeight="1">
      <c r="B10" s="425">
        <v>285</v>
      </c>
      <c r="C10" s="26">
        <v>1</v>
      </c>
      <c r="D10" s="58" t="s">
        <v>115</v>
      </c>
      <c r="E10" s="26" t="s">
        <v>116</v>
      </c>
      <c r="F10" s="139"/>
      <c r="G10" s="180"/>
      <c r="H10" s="155"/>
      <c r="I10" s="180"/>
      <c r="J10" s="155"/>
      <c r="K10" s="180"/>
      <c r="L10" s="155"/>
      <c r="M10" s="180"/>
      <c r="N10" s="155"/>
      <c r="O10" s="180"/>
      <c r="P10" s="139"/>
      <c r="Q10" s="180"/>
      <c r="R10" s="139"/>
      <c r="S10" s="180"/>
      <c r="T10" s="139"/>
      <c r="U10" s="180"/>
      <c r="V10" s="139"/>
      <c r="W10" s="180"/>
      <c r="X10" s="139"/>
      <c r="Y10" s="180"/>
      <c r="Z10" s="139"/>
      <c r="AA10" s="180"/>
      <c r="AB10" s="155"/>
      <c r="AC10" s="180"/>
      <c r="AD10" s="139"/>
      <c r="AE10" s="180"/>
      <c r="AF10" s="139"/>
      <c r="AG10" s="179"/>
      <c r="AH10" s="139"/>
      <c r="AI10" s="180"/>
      <c r="AJ10" s="139"/>
      <c r="AK10" s="179"/>
      <c r="AN10" s="60">
        <v>2</v>
      </c>
      <c r="AO10" s="410" t="s">
        <v>162</v>
      </c>
      <c r="AP10" s="60" t="s">
        <v>170</v>
      </c>
      <c r="AQ10" s="328">
        <f>F11</f>
        <v>0</v>
      </c>
      <c r="AR10" s="328"/>
      <c r="AS10" s="328">
        <f>H11</f>
        <v>0</v>
      </c>
      <c r="AT10" s="328"/>
      <c r="AU10" s="328">
        <f>J11</f>
        <v>0</v>
      </c>
      <c r="AV10" s="328"/>
      <c r="AW10" s="328">
        <f>L11</f>
        <v>0</v>
      </c>
      <c r="AX10" s="328"/>
      <c r="AY10" s="328">
        <f>N11</f>
        <v>0</v>
      </c>
      <c r="AZ10" s="328"/>
      <c r="BA10" s="328">
        <f>P11</f>
        <v>0</v>
      </c>
      <c r="BB10" s="328"/>
      <c r="BC10" s="328">
        <f>R11</f>
        <v>0</v>
      </c>
      <c r="BD10" s="328"/>
      <c r="BE10" s="328">
        <f>T11</f>
        <v>0</v>
      </c>
      <c r="BF10" s="328"/>
      <c r="BG10" s="328">
        <f>V11</f>
        <v>0</v>
      </c>
      <c r="BH10" s="328"/>
      <c r="BI10" s="328">
        <f>X11</f>
        <v>0</v>
      </c>
      <c r="BJ10" s="328"/>
      <c r="BK10" s="328">
        <f>Z11</f>
        <v>0</v>
      </c>
      <c r="BL10" s="328"/>
      <c r="BM10" s="328">
        <f>AB11</f>
        <v>0</v>
      </c>
      <c r="BN10" s="328"/>
      <c r="BO10" s="328">
        <f>AD11</f>
        <v>0</v>
      </c>
      <c r="BP10" s="328"/>
      <c r="BQ10" s="328">
        <f>AF11</f>
        <v>0</v>
      </c>
      <c r="BR10" s="328"/>
      <c r="BS10" s="328">
        <f>AH11</f>
        <v>0</v>
      </c>
      <c r="BT10" s="328"/>
      <c r="BU10" s="328">
        <f>AJ11</f>
        <v>0</v>
      </c>
      <c r="BV10" s="328"/>
    </row>
    <row r="11" spans="2:74" ht="14.25" customHeight="1">
      <c r="B11" s="425">
        <v>286</v>
      </c>
      <c r="C11" s="26">
        <v>2</v>
      </c>
      <c r="D11" s="58" t="s">
        <v>3</v>
      </c>
      <c r="E11" s="26" t="s">
        <v>117</v>
      </c>
      <c r="F11" s="139"/>
      <c r="G11" s="180"/>
      <c r="H11" s="155"/>
      <c r="I11" s="180"/>
      <c r="J11" s="155"/>
      <c r="K11" s="180"/>
      <c r="L11" s="155"/>
      <c r="M11" s="180"/>
      <c r="N11" s="155"/>
      <c r="O11" s="180"/>
      <c r="P11" s="139"/>
      <c r="Q11" s="180"/>
      <c r="R11" s="139"/>
      <c r="S11" s="180"/>
      <c r="T11" s="139"/>
      <c r="U11" s="180"/>
      <c r="V11" s="139"/>
      <c r="W11" s="180"/>
      <c r="X11" s="139"/>
      <c r="Y11" s="180"/>
      <c r="Z11" s="139"/>
      <c r="AA11" s="180"/>
      <c r="AB11" s="155"/>
      <c r="AC11" s="180"/>
      <c r="AD11" s="139"/>
      <c r="AE11" s="180"/>
      <c r="AF11" s="139"/>
      <c r="AG11" s="179"/>
      <c r="AH11" s="139"/>
      <c r="AI11" s="180"/>
      <c r="AJ11" s="139"/>
      <c r="AK11" s="179"/>
      <c r="AN11" s="60">
        <v>4</v>
      </c>
      <c r="AO11" s="410" t="s">
        <v>159</v>
      </c>
      <c r="AP11" s="60" t="s">
        <v>170</v>
      </c>
      <c r="AQ11" s="328">
        <f>F13</f>
        <v>0</v>
      </c>
      <c r="AR11" s="328"/>
      <c r="AS11" s="328">
        <f>H13</f>
        <v>0</v>
      </c>
      <c r="AT11" s="328"/>
      <c r="AU11" s="328">
        <f>J13</f>
        <v>0</v>
      </c>
      <c r="AV11" s="328"/>
      <c r="AW11" s="328">
        <f>L13</f>
        <v>0</v>
      </c>
      <c r="AX11" s="328"/>
      <c r="AY11" s="328">
        <f>N13</f>
        <v>0</v>
      </c>
      <c r="AZ11" s="328"/>
      <c r="BA11" s="328">
        <f>P13</f>
        <v>0</v>
      </c>
      <c r="BB11" s="328"/>
      <c r="BC11" s="328">
        <f>R13</f>
        <v>0</v>
      </c>
      <c r="BD11" s="328"/>
      <c r="BE11" s="328">
        <f>T13</f>
        <v>0</v>
      </c>
      <c r="BF11" s="328"/>
      <c r="BG11" s="328">
        <f>V13</f>
        <v>0</v>
      </c>
      <c r="BH11" s="328"/>
      <c r="BI11" s="328">
        <f>X13</f>
        <v>0</v>
      </c>
      <c r="BJ11" s="328"/>
      <c r="BK11" s="328">
        <f>Z13</f>
        <v>0</v>
      </c>
      <c r="BL11" s="328"/>
      <c r="BM11" s="328">
        <f>AB13</f>
        <v>0</v>
      </c>
      <c r="BN11" s="328"/>
      <c r="BO11" s="328">
        <f>AD13</f>
        <v>0</v>
      </c>
      <c r="BP11" s="328"/>
      <c r="BQ11" s="328">
        <f>AF13</f>
        <v>0</v>
      </c>
      <c r="BR11" s="328"/>
      <c r="BS11" s="328">
        <f>AH13</f>
        <v>0</v>
      </c>
      <c r="BT11" s="328"/>
      <c r="BU11" s="328">
        <f>AJ13</f>
        <v>0</v>
      </c>
      <c r="BV11" s="328"/>
    </row>
    <row r="12" spans="2:74" ht="22.5">
      <c r="B12" s="425">
        <v>287</v>
      </c>
      <c r="C12" s="26">
        <v>3</v>
      </c>
      <c r="D12" s="58" t="s">
        <v>118</v>
      </c>
      <c r="E12" s="26" t="s">
        <v>119</v>
      </c>
      <c r="F12" s="139"/>
      <c r="G12" s="180"/>
      <c r="H12" s="155"/>
      <c r="I12" s="180"/>
      <c r="J12" s="155"/>
      <c r="K12" s="180"/>
      <c r="L12" s="155"/>
      <c r="M12" s="180"/>
      <c r="N12" s="155"/>
      <c r="O12" s="180"/>
      <c r="P12" s="139"/>
      <c r="Q12" s="180"/>
      <c r="R12" s="139"/>
      <c r="S12" s="180"/>
      <c r="T12" s="139"/>
      <c r="U12" s="180"/>
      <c r="V12" s="139"/>
      <c r="W12" s="180"/>
      <c r="X12" s="139"/>
      <c r="Y12" s="180"/>
      <c r="Z12" s="139"/>
      <c r="AA12" s="180"/>
      <c r="AB12" s="155"/>
      <c r="AC12" s="180"/>
      <c r="AD12" s="139"/>
      <c r="AE12" s="180"/>
      <c r="AF12" s="139"/>
      <c r="AG12" s="179"/>
      <c r="AH12" s="139"/>
      <c r="AI12" s="180"/>
      <c r="AJ12" s="139"/>
      <c r="AK12" s="179"/>
      <c r="AN12" s="468" t="s">
        <v>677</v>
      </c>
      <c r="AO12" s="467" t="s">
        <v>139</v>
      </c>
      <c r="AP12" s="60"/>
      <c r="AQ12" s="328" t="str">
        <f>IF(OR(ISBLANK(F11),ISBLANK(F13)),"N/A",IF(AQ10*1.2&gt;=AQ11,"ok","&lt;&gt;"))</f>
        <v>N/A</v>
      </c>
      <c r="AR12" s="328"/>
      <c r="AS12" s="328" t="str">
        <f>IF(OR(ISBLANK(H11),ISBLANK(H13)),"N/A",IF(AS10*1.2&gt;=AS11,"ok","&lt;&gt;"))</f>
        <v>N/A</v>
      </c>
      <c r="AT12" s="328"/>
      <c r="AU12" s="328" t="str">
        <f>IF(OR(ISBLANK(J11),ISBLANK(J13)),"N/A",IF(AU10*1.2&gt;=AU11,"ok","&lt;&gt;"))</f>
        <v>N/A</v>
      </c>
      <c r="AV12" s="328"/>
      <c r="AW12" s="328" t="str">
        <f>IF(OR(ISBLANK(L11),ISBLANK(L13)),"N/A",IF(AW10*1.2&gt;=AW11,"ok","&lt;&gt;"))</f>
        <v>N/A</v>
      </c>
      <c r="AX12" s="328"/>
      <c r="AY12" s="328" t="str">
        <f>IF(OR(ISBLANK(N11),ISBLANK(N13)),"N/A",IF(AY10*1.2&gt;=AY11,"ok","&lt;&gt;"))</f>
        <v>N/A</v>
      </c>
      <c r="AZ12" s="328"/>
      <c r="BA12" s="328" t="str">
        <f>IF(OR(ISBLANK(P11),ISBLANK(P13)),"N/A",IF(BA10*1.2&gt;=BA11,"ok","&lt;&gt;"))</f>
        <v>N/A</v>
      </c>
      <c r="BB12" s="328"/>
      <c r="BC12" s="328" t="str">
        <f>IF(OR(ISBLANK(R11),ISBLANK(R13)),"N/A",IF(BC10*1.2&gt;=BC11,"ok","&lt;&gt;"))</f>
        <v>N/A</v>
      </c>
      <c r="BD12" s="328"/>
      <c r="BE12" s="328" t="str">
        <f>IF(OR(ISBLANK(T11),ISBLANK(T13)),"N/A",IF(BE10*1.2&gt;=BE11,"ok","&lt;&gt;"))</f>
        <v>N/A</v>
      </c>
      <c r="BF12" s="328"/>
      <c r="BG12" s="328" t="str">
        <f>IF(OR(ISBLANK(V11),ISBLANK(V13)),"N/A",IF(BG10*1.2&gt;=BG11,"ok","&lt;&gt;"))</f>
        <v>N/A</v>
      </c>
      <c r="BH12" s="328"/>
      <c r="BI12" s="328" t="str">
        <f>IF(OR(ISBLANK(X11),ISBLANK(X13)),"N/A",IF(BI10*1.2&gt;=BI11,"ok","&lt;&gt;"))</f>
        <v>N/A</v>
      </c>
      <c r="BJ12" s="328"/>
      <c r="BK12" s="328" t="str">
        <f>IF(OR(ISBLANK(Z11),ISBLANK(Z13)),"N/A",IF(BK10*1.2&gt;=BK11,"ok","&lt;&gt;"))</f>
        <v>N/A</v>
      </c>
      <c r="BL12" s="328"/>
      <c r="BM12" s="328" t="str">
        <f>IF(OR(ISBLANK(AB11),ISBLANK(AB13)),"N/A",IF(BM10*1.2&gt;=BM11,"ok","&lt;&gt;"))</f>
        <v>N/A</v>
      </c>
      <c r="BN12" s="328"/>
      <c r="BO12" s="328" t="str">
        <f>IF(OR(ISBLANK(AD11),ISBLANK(AD13)),"N/A",IF(BO10*1.2&gt;=BO11,"ok","&lt;&gt;"))</f>
        <v>N/A</v>
      </c>
      <c r="BP12" s="328"/>
      <c r="BQ12" s="328" t="str">
        <f>IF(OR(ISBLANK(AF11),ISBLANK(AF13)),"N/A",IF(BQ10*1.2&gt;=BQ11,"ok","&lt;&gt;"))</f>
        <v>N/A</v>
      </c>
      <c r="BR12" s="328"/>
      <c r="BS12" s="328" t="str">
        <f>IF(OR(ISBLANK(AH11),ISBLANK(AH13)),"N/A",IF(BS10*1.2&gt;=BS11,"ok","&lt;&gt;"))</f>
        <v>N/A</v>
      </c>
      <c r="BT12" s="328"/>
      <c r="BU12" s="328" t="str">
        <f>IF(OR(ISBLANK(AJ11),ISBLANK(AJ13)),"N/A",IF(BU10*1.2&gt;=BU11,"ok","&lt;&gt;"))</f>
        <v>N/A</v>
      </c>
      <c r="BV12" s="328"/>
    </row>
    <row r="13" spans="2:74" ht="14.25" customHeight="1">
      <c r="B13" s="425">
        <v>288</v>
      </c>
      <c r="C13" s="26">
        <v>4</v>
      </c>
      <c r="D13" s="58" t="s">
        <v>120</v>
      </c>
      <c r="E13" s="26" t="s">
        <v>117</v>
      </c>
      <c r="F13" s="139"/>
      <c r="G13" s="180"/>
      <c r="H13" s="155"/>
      <c r="I13" s="180"/>
      <c r="J13" s="155"/>
      <c r="K13" s="180"/>
      <c r="L13" s="155"/>
      <c r="M13" s="180"/>
      <c r="N13" s="155"/>
      <c r="O13" s="180"/>
      <c r="P13" s="139"/>
      <c r="Q13" s="180"/>
      <c r="R13" s="139"/>
      <c r="S13" s="180"/>
      <c r="T13" s="139"/>
      <c r="U13" s="180"/>
      <c r="V13" s="139"/>
      <c r="W13" s="180"/>
      <c r="X13" s="139"/>
      <c r="Y13" s="180"/>
      <c r="Z13" s="139"/>
      <c r="AA13" s="180"/>
      <c r="AB13" s="155"/>
      <c r="AC13" s="180"/>
      <c r="AD13" s="139"/>
      <c r="AE13" s="180"/>
      <c r="AF13" s="139"/>
      <c r="AG13" s="179"/>
      <c r="AH13" s="139"/>
      <c r="AI13" s="180"/>
      <c r="AJ13" s="139"/>
      <c r="AK13" s="179"/>
      <c r="AN13" s="60">
        <v>3</v>
      </c>
      <c r="AO13" s="410" t="s">
        <v>163</v>
      </c>
      <c r="AP13" s="60" t="s">
        <v>161</v>
      </c>
      <c r="AQ13" s="328">
        <f>F12</f>
        <v>0</v>
      </c>
      <c r="AR13" s="328"/>
      <c r="AS13" s="328">
        <f>H12</f>
        <v>0</v>
      </c>
      <c r="AT13" s="328"/>
      <c r="AU13" s="328">
        <f>J12</f>
        <v>0</v>
      </c>
      <c r="AV13" s="328"/>
      <c r="AW13" s="328">
        <f>L12</f>
        <v>0</v>
      </c>
      <c r="AX13" s="328"/>
      <c r="AY13" s="328">
        <f>N12</f>
        <v>0</v>
      </c>
      <c r="AZ13" s="328"/>
      <c r="BA13" s="328">
        <f>P12</f>
        <v>0</v>
      </c>
      <c r="BB13" s="328"/>
      <c r="BC13" s="328">
        <f>R12</f>
        <v>0</v>
      </c>
      <c r="BD13" s="328"/>
      <c r="BE13" s="328">
        <f>T12</f>
        <v>0</v>
      </c>
      <c r="BF13" s="328"/>
      <c r="BG13" s="328">
        <f>V12</f>
        <v>0</v>
      </c>
      <c r="BH13" s="328"/>
      <c r="BI13" s="328">
        <f>X12</f>
        <v>0</v>
      </c>
      <c r="BJ13" s="328"/>
      <c r="BK13" s="328">
        <f>Z12</f>
        <v>0</v>
      </c>
      <c r="BL13" s="328"/>
      <c r="BM13" s="328">
        <f>AB12</f>
        <v>0</v>
      </c>
      <c r="BN13" s="328"/>
      <c r="BO13" s="328">
        <f>AD12</f>
        <v>0</v>
      </c>
      <c r="BP13" s="328"/>
      <c r="BQ13" s="328">
        <f>AF12</f>
        <v>0</v>
      </c>
      <c r="BR13" s="328"/>
      <c r="BS13" s="328">
        <f>AH12</f>
        <v>0</v>
      </c>
      <c r="BT13" s="328"/>
      <c r="BU13" s="328">
        <f>AJ12</f>
        <v>0</v>
      </c>
      <c r="BV13" s="328"/>
    </row>
    <row r="14" spans="2:74" ht="23.25" customHeight="1">
      <c r="B14" s="425">
        <v>289</v>
      </c>
      <c r="C14" s="26">
        <v>5</v>
      </c>
      <c r="D14" s="58" t="s">
        <v>121</v>
      </c>
      <c r="E14" s="26" t="s">
        <v>119</v>
      </c>
      <c r="F14" s="139"/>
      <c r="G14" s="180"/>
      <c r="H14" s="155"/>
      <c r="I14" s="180"/>
      <c r="J14" s="155"/>
      <c r="K14" s="180"/>
      <c r="L14" s="155"/>
      <c r="M14" s="180"/>
      <c r="N14" s="155"/>
      <c r="O14" s="180"/>
      <c r="P14" s="139"/>
      <c r="Q14" s="180"/>
      <c r="R14" s="139"/>
      <c r="S14" s="180"/>
      <c r="T14" s="139"/>
      <c r="U14" s="180"/>
      <c r="V14" s="139"/>
      <c r="W14" s="180"/>
      <c r="X14" s="139"/>
      <c r="Y14" s="180"/>
      <c r="Z14" s="139"/>
      <c r="AA14" s="180"/>
      <c r="AB14" s="155"/>
      <c r="AC14" s="180"/>
      <c r="AD14" s="139"/>
      <c r="AE14" s="180"/>
      <c r="AF14" s="139"/>
      <c r="AG14" s="179"/>
      <c r="AH14" s="139"/>
      <c r="AI14" s="180"/>
      <c r="AJ14" s="139"/>
      <c r="AK14" s="179"/>
      <c r="AN14" s="60">
        <v>5</v>
      </c>
      <c r="AO14" s="410" t="s">
        <v>160</v>
      </c>
      <c r="AP14" s="60" t="s">
        <v>161</v>
      </c>
      <c r="AQ14" s="328">
        <f>F14</f>
        <v>0</v>
      </c>
      <c r="AR14" s="328"/>
      <c r="AS14" s="328">
        <f>H14</f>
        <v>0</v>
      </c>
      <c r="AT14" s="328"/>
      <c r="AU14" s="328">
        <f>J14</f>
        <v>0</v>
      </c>
      <c r="AV14" s="328"/>
      <c r="AW14" s="328">
        <f>L14</f>
        <v>0</v>
      </c>
      <c r="AX14" s="328"/>
      <c r="AY14" s="328">
        <f>N14</f>
        <v>0</v>
      </c>
      <c r="AZ14" s="328"/>
      <c r="BA14" s="328">
        <f>P14</f>
        <v>0</v>
      </c>
      <c r="BB14" s="328"/>
      <c r="BC14" s="328">
        <f>R14</f>
        <v>0</v>
      </c>
      <c r="BD14" s="328"/>
      <c r="BE14" s="328">
        <f>T14</f>
        <v>0</v>
      </c>
      <c r="BF14" s="328"/>
      <c r="BG14" s="328">
        <f>V14</f>
        <v>0</v>
      </c>
      <c r="BH14" s="328"/>
      <c r="BI14" s="328">
        <f>X14</f>
        <v>0</v>
      </c>
      <c r="BJ14" s="328"/>
      <c r="BK14" s="328">
        <f>Z14</f>
        <v>0</v>
      </c>
      <c r="BL14" s="328"/>
      <c r="BM14" s="328">
        <f>AB14</f>
        <v>0</v>
      </c>
      <c r="BN14" s="328"/>
      <c r="BO14" s="328">
        <f>AD14</f>
        <v>0</v>
      </c>
      <c r="BP14" s="328"/>
      <c r="BQ14" s="328">
        <f>AF14</f>
        <v>0</v>
      </c>
      <c r="BR14" s="328"/>
      <c r="BS14" s="328">
        <f>AH14</f>
        <v>0</v>
      </c>
      <c r="BT14" s="328"/>
      <c r="BU14" s="328">
        <f>AJ14</f>
        <v>0</v>
      </c>
      <c r="BV14" s="328"/>
    </row>
    <row r="15" spans="1:74" s="80" customFormat="1" ht="15" customHeight="1">
      <c r="A15" s="397"/>
      <c r="B15" s="425">
        <v>5012</v>
      </c>
      <c r="C15" s="60"/>
      <c r="D15" s="79" t="s">
        <v>724</v>
      </c>
      <c r="E15" s="60"/>
      <c r="F15" s="142"/>
      <c r="G15" s="192"/>
      <c r="H15" s="147"/>
      <c r="I15" s="192"/>
      <c r="J15" s="147"/>
      <c r="K15" s="192"/>
      <c r="L15" s="147"/>
      <c r="M15" s="192"/>
      <c r="N15" s="147"/>
      <c r="O15" s="192"/>
      <c r="P15" s="142"/>
      <c r="Q15" s="192"/>
      <c r="R15" s="142"/>
      <c r="S15" s="192"/>
      <c r="T15" s="142"/>
      <c r="U15" s="192"/>
      <c r="V15" s="142"/>
      <c r="W15" s="192"/>
      <c r="X15" s="142"/>
      <c r="Y15" s="192"/>
      <c r="Z15" s="142"/>
      <c r="AA15" s="192"/>
      <c r="AB15" s="147"/>
      <c r="AC15" s="192"/>
      <c r="AD15" s="142"/>
      <c r="AE15" s="192"/>
      <c r="AF15" s="142"/>
      <c r="AG15" s="192"/>
      <c r="AH15" s="142"/>
      <c r="AI15" s="192"/>
      <c r="AJ15" s="142"/>
      <c r="AK15" s="192"/>
      <c r="AM15" s="419"/>
      <c r="AN15" s="468" t="s">
        <v>677</v>
      </c>
      <c r="AO15" s="467" t="s">
        <v>597</v>
      </c>
      <c r="AP15" s="60"/>
      <c r="AQ15" s="328" t="str">
        <f>IF(OR(ISBLANK(F12),ISBLANK(F14)),"N/A",IF(AQ13&gt;=AQ14,"ok","&lt;&gt;"))</f>
        <v>N/A</v>
      </c>
      <c r="AR15" s="328"/>
      <c r="AS15" s="328" t="str">
        <f>IF(OR(ISBLANK(H12),ISBLANK(H14)),"N/A",IF(AS13&gt;=AS14,"ok","&lt;&gt;"))</f>
        <v>N/A</v>
      </c>
      <c r="AT15" s="328"/>
      <c r="AU15" s="328" t="str">
        <f>IF(OR(ISBLANK(J12),ISBLANK(J14)),"N/A",IF(AU13&gt;=AU14,"ok","&lt;&gt;"))</f>
        <v>N/A</v>
      </c>
      <c r="AV15" s="328"/>
      <c r="AW15" s="328" t="str">
        <f>IF(OR(ISBLANK(L12),ISBLANK(L14)),"N/A",IF(AW13&gt;=AW14,"ok","&lt;&gt;"))</f>
        <v>N/A</v>
      </c>
      <c r="AX15" s="328"/>
      <c r="AY15" s="328" t="str">
        <f>IF(OR(ISBLANK(N12),ISBLANK(N14)),"N/A",IF(AY13&gt;=AY14,"ok","&lt;&gt;"))</f>
        <v>N/A</v>
      </c>
      <c r="AZ15" s="328"/>
      <c r="BA15" s="328" t="str">
        <f>IF(OR(ISBLANK(P12),ISBLANK(P14)),"N/A",IF(BA13&gt;=BA14,"ok","&lt;&gt;"))</f>
        <v>N/A</v>
      </c>
      <c r="BB15" s="328"/>
      <c r="BC15" s="328" t="str">
        <f>IF(OR(ISBLANK(R12),ISBLANK(R14)),"N/A",IF(BC13&gt;=BC14,"ok","&lt;&gt;"))</f>
        <v>N/A</v>
      </c>
      <c r="BD15" s="328"/>
      <c r="BE15" s="328" t="str">
        <f>IF(OR(ISBLANK(T12),ISBLANK(T14)),"N/A",IF(BE13&gt;=BE14,"ok","&lt;&gt;"))</f>
        <v>N/A</v>
      </c>
      <c r="BF15" s="328"/>
      <c r="BG15" s="328" t="str">
        <f>IF(OR(ISBLANK(V12),ISBLANK(V14)),"N/A",IF(BG13&gt;=BG14,"ok","&lt;&gt;"))</f>
        <v>N/A</v>
      </c>
      <c r="BH15" s="328"/>
      <c r="BI15" s="328" t="str">
        <f>IF(OR(ISBLANK(X12),ISBLANK(X14)),"N/A",IF(BI13&gt;=BI14,"ok","&lt;&gt;"))</f>
        <v>N/A</v>
      </c>
      <c r="BJ15" s="328"/>
      <c r="BK15" s="328" t="str">
        <f>IF(OR(ISBLANK(Z12),ISBLANK(Z14)),"N/A",IF(BK13&gt;=BK14,"ok","&lt;&gt;"))</f>
        <v>N/A</v>
      </c>
      <c r="BL15" s="328"/>
      <c r="BM15" s="328" t="str">
        <f>IF(OR(ISBLANK(AB12),ISBLANK(AB14)),"N/A",IF(BM13&gt;=BM14,"ok","&lt;&gt;"))</f>
        <v>N/A</v>
      </c>
      <c r="BN15" s="328"/>
      <c r="BO15" s="328" t="str">
        <f>IF(OR(ISBLANK(AD12),ISBLANK(AD14)),"N/A",IF(BO13&gt;=BO14,"ok","&lt;&gt;"))</f>
        <v>N/A</v>
      </c>
      <c r="BP15" s="328"/>
      <c r="BQ15" s="328" t="str">
        <f>IF(OR(ISBLANK(AF12),ISBLANK(AF14)),"N/A",IF(BQ13&gt;=BQ14,"ok","&lt;&gt;"))</f>
        <v>N/A</v>
      </c>
      <c r="BR15" s="328"/>
      <c r="BS15" s="328" t="str">
        <f>IF(OR(ISBLANK(AH12),ISBLANK(AH14)),"N/A",IF(BS13&gt;=BS14,"ok","&lt;&gt;"))</f>
        <v>N/A</v>
      </c>
      <c r="BT15" s="328"/>
      <c r="BU15" s="328" t="str">
        <f>IF(OR(ISBLANK(AJ12),ISBLANK(AJ14)),"N/A",IF(BU13&gt;=BU14,"ok","&lt;&gt;"))</f>
        <v>N/A</v>
      </c>
      <c r="BV15" s="328"/>
    </row>
    <row r="16" spans="2:74" ht="14.25" customHeight="1">
      <c r="B16" s="425">
        <v>290</v>
      </c>
      <c r="C16" s="26">
        <v>6</v>
      </c>
      <c r="D16" s="58" t="s">
        <v>115</v>
      </c>
      <c r="E16" s="26" t="s">
        <v>116</v>
      </c>
      <c r="F16" s="139"/>
      <c r="G16" s="180"/>
      <c r="H16" s="155"/>
      <c r="I16" s="180"/>
      <c r="J16" s="155"/>
      <c r="K16" s="180"/>
      <c r="L16" s="155"/>
      <c r="M16" s="180"/>
      <c r="N16" s="155"/>
      <c r="O16" s="180"/>
      <c r="P16" s="139"/>
      <c r="Q16" s="180"/>
      <c r="R16" s="139"/>
      <c r="S16" s="180"/>
      <c r="T16" s="139"/>
      <c r="U16" s="180"/>
      <c r="V16" s="139"/>
      <c r="W16" s="180"/>
      <c r="X16" s="139"/>
      <c r="Y16" s="180"/>
      <c r="Z16" s="139"/>
      <c r="AA16" s="180"/>
      <c r="AB16" s="155"/>
      <c r="AC16" s="180"/>
      <c r="AD16" s="139"/>
      <c r="AE16" s="180"/>
      <c r="AF16" s="139"/>
      <c r="AG16" s="179"/>
      <c r="AH16" s="139"/>
      <c r="AI16" s="180"/>
      <c r="AJ16" s="139"/>
      <c r="AK16" s="179"/>
      <c r="AN16" s="60"/>
      <c r="AO16" s="79" t="s">
        <v>659</v>
      </c>
      <c r="AP16" s="60"/>
      <c r="AQ16" s="142"/>
      <c r="AR16" s="192"/>
      <c r="AS16" s="142"/>
      <c r="AT16" s="192"/>
      <c r="AU16" s="142"/>
      <c r="AV16" s="192"/>
      <c r="AW16" s="142"/>
      <c r="AX16" s="192"/>
      <c r="AY16" s="142"/>
      <c r="AZ16" s="192"/>
      <c r="BA16" s="142"/>
      <c r="BB16" s="192"/>
      <c r="BC16" s="142"/>
      <c r="BD16" s="192"/>
      <c r="BE16" s="142"/>
      <c r="BF16" s="192"/>
      <c r="BG16" s="142"/>
      <c r="BH16" s="192"/>
      <c r="BI16" s="142"/>
      <c r="BJ16" s="192"/>
      <c r="BK16" s="142"/>
      <c r="BL16" s="192"/>
      <c r="BM16" s="142"/>
      <c r="BN16" s="192"/>
      <c r="BO16" s="142"/>
      <c r="BP16" s="192"/>
      <c r="BQ16" s="142"/>
      <c r="BR16" s="192"/>
      <c r="BS16" s="142"/>
      <c r="BT16" s="192"/>
      <c r="BU16" s="142"/>
      <c r="BV16" s="192"/>
    </row>
    <row r="17" spans="2:74" ht="14.25" customHeight="1">
      <c r="B17" s="425">
        <v>291</v>
      </c>
      <c r="C17" s="26">
        <v>7</v>
      </c>
      <c r="D17" s="58" t="s">
        <v>3</v>
      </c>
      <c r="E17" s="26" t="s">
        <v>117</v>
      </c>
      <c r="F17" s="139"/>
      <c r="G17" s="180"/>
      <c r="H17" s="155"/>
      <c r="I17" s="180"/>
      <c r="J17" s="155"/>
      <c r="K17" s="180"/>
      <c r="L17" s="155"/>
      <c r="M17" s="180"/>
      <c r="N17" s="155"/>
      <c r="O17" s="180"/>
      <c r="P17" s="139"/>
      <c r="Q17" s="180"/>
      <c r="R17" s="139"/>
      <c r="S17" s="180"/>
      <c r="T17" s="139"/>
      <c r="U17" s="180"/>
      <c r="V17" s="139"/>
      <c r="W17" s="180"/>
      <c r="X17" s="139"/>
      <c r="Y17" s="180"/>
      <c r="Z17" s="139"/>
      <c r="AA17" s="180"/>
      <c r="AB17" s="155"/>
      <c r="AC17" s="180"/>
      <c r="AD17" s="139"/>
      <c r="AE17" s="180"/>
      <c r="AF17" s="139"/>
      <c r="AG17" s="179"/>
      <c r="AH17" s="139"/>
      <c r="AI17" s="180"/>
      <c r="AJ17" s="139"/>
      <c r="AK17" s="179"/>
      <c r="AN17" s="60">
        <v>7</v>
      </c>
      <c r="AO17" s="410" t="s">
        <v>162</v>
      </c>
      <c r="AP17" s="60" t="s">
        <v>170</v>
      </c>
      <c r="AQ17" s="328">
        <f>F17</f>
        <v>0</v>
      </c>
      <c r="AR17" s="328"/>
      <c r="AS17" s="328">
        <f>H17</f>
        <v>0</v>
      </c>
      <c r="AT17" s="328"/>
      <c r="AU17" s="328">
        <f>J17</f>
        <v>0</v>
      </c>
      <c r="AV17" s="328"/>
      <c r="AW17" s="328">
        <f>L17</f>
        <v>0</v>
      </c>
      <c r="AX17" s="328"/>
      <c r="AY17" s="328">
        <f>N17</f>
        <v>0</v>
      </c>
      <c r="AZ17" s="328"/>
      <c r="BA17" s="328">
        <f>P17</f>
        <v>0</v>
      </c>
      <c r="BB17" s="328"/>
      <c r="BC17" s="328">
        <f>R17</f>
        <v>0</v>
      </c>
      <c r="BD17" s="328"/>
      <c r="BE17" s="328">
        <f>T17</f>
        <v>0</v>
      </c>
      <c r="BF17" s="328"/>
      <c r="BG17" s="328">
        <f>V17</f>
        <v>0</v>
      </c>
      <c r="BH17" s="328"/>
      <c r="BI17" s="328">
        <f>X17</f>
        <v>0</v>
      </c>
      <c r="BJ17" s="328"/>
      <c r="BK17" s="328">
        <f>Z17</f>
        <v>0</v>
      </c>
      <c r="BL17" s="328"/>
      <c r="BM17" s="328">
        <f>AB17</f>
        <v>0</v>
      </c>
      <c r="BN17" s="328"/>
      <c r="BO17" s="328">
        <f>AD17</f>
        <v>0</v>
      </c>
      <c r="BP17" s="328"/>
      <c r="BQ17" s="328">
        <f>AF17</f>
        <v>0</v>
      </c>
      <c r="BR17" s="328"/>
      <c r="BS17" s="328">
        <f>AH17</f>
        <v>0</v>
      </c>
      <c r="BT17" s="328"/>
      <c r="BU17" s="328">
        <f>AJ17</f>
        <v>0</v>
      </c>
      <c r="BV17" s="328"/>
    </row>
    <row r="18" spans="2:74" ht="22.5">
      <c r="B18" s="425">
        <v>292</v>
      </c>
      <c r="C18" s="26">
        <v>8</v>
      </c>
      <c r="D18" s="58" t="s">
        <v>118</v>
      </c>
      <c r="E18" s="26" t="s">
        <v>119</v>
      </c>
      <c r="F18" s="139"/>
      <c r="G18" s="180"/>
      <c r="H18" s="155"/>
      <c r="I18" s="180"/>
      <c r="J18" s="155"/>
      <c r="K18" s="180"/>
      <c r="L18" s="155"/>
      <c r="M18" s="180"/>
      <c r="N18" s="155"/>
      <c r="O18" s="180"/>
      <c r="P18" s="139"/>
      <c r="Q18" s="180"/>
      <c r="R18" s="139"/>
      <c r="S18" s="180"/>
      <c r="T18" s="139"/>
      <c r="U18" s="180"/>
      <c r="V18" s="139"/>
      <c r="W18" s="180"/>
      <c r="X18" s="139"/>
      <c r="Y18" s="180"/>
      <c r="Z18" s="139"/>
      <c r="AA18" s="180"/>
      <c r="AB18" s="155"/>
      <c r="AC18" s="180"/>
      <c r="AD18" s="139"/>
      <c r="AE18" s="180"/>
      <c r="AF18" s="139"/>
      <c r="AG18" s="179"/>
      <c r="AH18" s="139"/>
      <c r="AI18" s="180"/>
      <c r="AJ18" s="139"/>
      <c r="AK18" s="179"/>
      <c r="AN18" s="60">
        <v>9</v>
      </c>
      <c r="AO18" s="410" t="s">
        <v>159</v>
      </c>
      <c r="AP18" s="60" t="s">
        <v>170</v>
      </c>
      <c r="AQ18" s="328">
        <f>F19</f>
        <v>0</v>
      </c>
      <c r="AR18" s="328"/>
      <c r="AS18" s="328">
        <f>H19</f>
        <v>0</v>
      </c>
      <c r="AT18" s="328"/>
      <c r="AU18" s="328">
        <f>J19</f>
        <v>0</v>
      </c>
      <c r="AV18" s="328"/>
      <c r="AW18" s="328">
        <f>L19</f>
        <v>0</v>
      </c>
      <c r="AX18" s="328"/>
      <c r="AY18" s="328">
        <f>N19</f>
        <v>0</v>
      </c>
      <c r="AZ18" s="328"/>
      <c r="BA18" s="328">
        <f>P19</f>
        <v>0</v>
      </c>
      <c r="BB18" s="328"/>
      <c r="BC18" s="328">
        <f>R19</f>
        <v>0</v>
      </c>
      <c r="BD18" s="328"/>
      <c r="BE18" s="328">
        <f>T19</f>
        <v>0</v>
      </c>
      <c r="BF18" s="328"/>
      <c r="BG18" s="328">
        <f>V19</f>
        <v>0</v>
      </c>
      <c r="BH18" s="328"/>
      <c r="BI18" s="328">
        <f>X19</f>
        <v>0</v>
      </c>
      <c r="BJ18" s="328"/>
      <c r="BK18" s="328">
        <f>Z19</f>
        <v>0</v>
      </c>
      <c r="BL18" s="328"/>
      <c r="BM18" s="328">
        <f>AB19</f>
        <v>0</v>
      </c>
      <c r="BN18" s="328"/>
      <c r="BO18" s="328">
        <f>AD19</f>
        <v>0</v>
      </c>
      <c r="BP18" s="328"/>
      <c r="BQ18" s="328">
        <f>AF19</f>
        <v>0</v>
      </c>
      <c r="BR18" s="328"/>
      <c r="BS18" s="328">
        <f>AH19</f>
        <v>0</v>
      </c>
      <c r="BT18" s="328"/>
      <c r="BU18" s="328">
        <f>AJ19</f>
        <v>0</v>
      </c>
      <c r="BV18" s="328"/>
    </row>
    <row r="19" spans="2:74" ht="14.25" customHeight="1">
      <c r="B19" s="425">
        <v>293</v>
      </c>
      <c r="C19" s="26">
        <v>9</v>
      </c>
      <c r="D19" s="58" t="s">
        <v>120</v>
      </c>
      <c r="E19" s="26" t="s">
        <v>117</v>
      </c>
      <c r="F19" s="139"/>
      <c r="G19" s="180"/>
      <c r="H19" s="155"/>
      <c r="I19" s="180"/>
      <c r="J19" s="155"/>
      <c r="K19" s="180"/>
      <c r="L19" s="155"/>
      <c r="M19" s="180"/>
      <c r="N19" s="155"/>
      <c r="O19" s="180"/>
      <c r="P19" s="139"/>
      <c r="Q19" s="180"/>
      <c r="R19" s="139"/>
      <c r="S19" s="180"/>
      <c r="T19" s="139"/>
      <c r="U19" s="180"/>
      <c r="V19" s="139"/>
      <c r="W19" s="180"/>
      <c r="X19" s="139"/>
      <c r="Y19" s="180"/>
      <c r="Z19" s="139"/>
      <c r="AA19" s="180"/>
      <c r="AB19" s="155"/>
      <c r="AC19" s="180"/>
      <c r="AD19" s="139"/>
      <c r="AE19" s="180"/>
      <c r="AF19" s="139"/>
      <c r="AG19" s="179"/>
      <c r="AH19" s="139"/>
      <c r="AI19" s="180"/>
      <c r="AJ19" s="139"/>
      <c r="AK19" s="179"/>
      <c r="AN19" s="468" t="s">
        <v>677</v>
      </c>
      <c r="AO19" s="467" t="s">
        <v>140</v>
      </c>
      <c r="AP19" s="60"/>
      <c r="AQ19" s="328" t="str">
        <f>IF(OR(ISBLANK(F17),ISBLANK(F19)),"N/A",IF(AQ17*1.2&gt;=AQ18,"ok","&lt;&gt;"))</f>
        <v>N/A</v>
      </c>
      <c r="AR19" s="328"/>
      <c r="AS19" s="328" t="str">
        <f>IF(OR(ISBLANK(H17),ISBLANK(H19)),"N/A",IF(AS17*1.2&gt;=AS18,"ok","&lt;&gt;"))</f>
        <v>N/A</v>
      </c>
      <c r="AT19" s="328"/>
      <c r="AU19" s="328" t="str">
        <f>IF(OR(ISBLANK(J17),ISBLANK(J19)),"N/A",IF(AU17*1.2&gt;=AU18,"ok","&lt;&gt;"))</f>
        <v>N/A</v>
      </c>
      <c r="AV19" s="328"/>
      <c r="AW19" s="328" t="str">
        <f>IF(OR(ISBLANK(L17),ISBLANK(L19)),"N/A",IF(AW17*1.2&gt;=AW18,"ok","&lt;&gt;"))</f>
        <v>N/A</v>
      </c>
      <c r="AX19" s="328"/>
      <c r="AY19" s="328" t="str">
        <f>IF(OR(ISBLANK(N17),ISBLANK(N19)),"N/A",IF(AY17*1.2&gt;=AY18,"ok","&lt;&gt;"))</f>
        <v>N/A</v>
      </c>
      <c r="AZ19" s="328"/>
      <c r="BA19" s="328" t="str">
        <f>IF(OR(ISBLANK(P17),ISBLANK(P19)),"N/A",IF(BA17*1.2&gt;=BA18,"ok","&lt;&gt;"))</f>
        <v>N/A</v>
      </c>
      <c r="BB19" s="328"/>
      <c r="BC19" s="328" t="str">
        <f>IF(OR(ISBLANK(R17),ISBLANK(R19)),"N/A",IF(BC17*1.2&gt;=BC18,"ok","&lt;&gt;"))</f>
        <v>N/A</v>
      </c>
      <c r="BD19" s="328"/>
      <c r="BE19" s="328" t="str">
        <f>IF(OR(ISBLANK(T17),ISBLANK(T19)),"N/A",IF(BE17*1.2&gt;=BE18,"ok","&lt;&gt;"))</f>
        <v>N/A</v>
      </c>
      <c r="BF19" s="328"/>
      <c r="BG19" s="328" t="str">
        <f>IF(OR(ISBLANK(V17),ISBLANK(V19)),"N/A",IF(BG17*1.2&gt;=BG18,"ok","&lt;&gt;"))</f>
        <v>N/A</v>
      </c>
      <c r="BH19" s="328"/>
      <c r="BI19" s="328" t="str">
        <f>IF(OR(ISBLANK(X17),ISBLANK(X19)),"N/A",IF(BI17*1.2&gt;=BI18,"ok","&lt;&gt;"))</f>
        <v>N/A</v>
      </c>
      <c r="BJ19" s="328"/>
      <c r="BK19" s="328" t="str">
        <f>IF(OR(ISBLANK(Z17),ISBLANK(Z19)),"N/A",IF(BK17*1.2&gt;=BK18,"ok","&lt;&gt;"))</f>
        <v>N/A</v>
      </c>
      <c r="BL19" s="328"/>
      <c r="BM19" s="328" t="str">
        <f>IF(OR(ISBLANK(AB17),ISBLANK(AB19)),"N/A",IF(BM17*1.2&gt;=BM18,"ok","&lt;&gt;"))</f>
        <v>N/A</v>
      </c>
      <c r="BN19" s="328"/>
      <c r="BO19" s="328" t="str">
        <f>IF(OR(ISBLANK(AD17),ISBLANK(AD19)),"N/A",IF(BO17*1.2&gt;=BO18,"ok","&lt;&gt;"))</f>
        <v>N/A</v>
      </c>
      <c r="BP19" s="328"/>
      <c r="BQ19" s="328" t="str">
        <f>IF(OR(ISBLANK(AF17),ISBLANK(AF19)),"N/A",IF(BQ17*1.2&gt;=BQ18,"ok","&lt;&gt;"))</f>
        <v>N/A</v>
      </c>
      <c r="BR19" s="328"/>
      <c r="BS19" s="328" t="str">
        <f>IF(OR(ISBLANK(AH17),ISBLANK(AH19)),"N/A",IF(BS17*1.2&gt;=BS18,"ok","&lt;&gt;"))</f>
        <v>N/A</v>
      </c>
      <c r="BT19" s="328"/>
      <c r="BU19" s="328" t="str">
        <f>IF(OR(ISBLANK(AJ17),ISBLANK(AJ19)),"N/A",IF(BU17*1.2&gt;=BU18,"ok","&lt;&gt;"))</f>
        <v>N/A</v>
      </c>
      <c r="BV19" s="328"/>
    </row>
    <row r="20" spans="2:74" ht="22.5">
      <c r="B20" s="425">
        <v>294</v>
      </c>
      <c r="C20" s="26">
        <v>10</v>
      </c>
      <c r="D20" s="58" t="s">
        <v>121</v>
      </c>
      <c r="E20" s="26" t="s">
        <v>119</v>
      </c>
      <c r="F20" s="139"/>
      <c r="G20" s="180"/>
      <c r="H20" s="155"/>
      <c r="I20" s="180"/>
      <c r="J20" s="155"/>
      <c r="K20" s="180"/>
      <c r="L20" s="155"/>
      <c r="M20" s="180"/>
      <c r="N20" s="155"/>
      <c r="O20" s="180"/>
      <c r="P20" s="139"/>
      <c r="Q20" s="180"/>
      <c r="R20" s="139"/>
      <c r="S20" s="180"/>
      <c r="T20" s="139"/>
      <c r="U20" s="180"/>
      <c r="V20" s="139"/>
      <c r="W20" s="180"/>
      <c r="X20" s="139"/>
      <c r="Y20" s="180"/>
      <c r="Z20" s="139"/>
      <c r="AA20" s="180"/>
      <c r="AB20" s="155"/>
      <c r="AC20" s="180"/>
      <c r="AD20" s="139"/>
      <c r="AE20" s="180"/>
      <c r="AF20" s="139"/>
      <c r="AG20" s="179"/>
      <c r="AH20" s="139"/>
      <c r="AI20" s="180"/>
      <c r="AJ20" s="139"/>
      <c r="AK20" s="179"/>
      <c r="AN20" s="60">
        <v>8</v>
      </c>
      <c r="AO20" s="410" t="s">
        <v>163</v>
      </c>
      <c r="AP20" s="60" t="s">
        <v>161</v>
      </c>
      <c r="AQ20" s="328">
        <f>F18</f>
        <v>0</v>
      </c>
      <c r="AR20" s="328"/>
      <c r="AS20" s="328">
        <f>H18</f>
        <v>0</v>
      </c>
      <c r="AT20" s="328"/>
      <c r="AU20" s="328">
        <f>J18</f>
        <v>0</v>
      </c>
      <c r="AV20" s="328"/>
      <c r="AW20" s="328">
        <f>L18</f>
        <v>0</v>
      </c>
      <c r="AX20" s="328"/>
      <c r="AY20" s="328">
        <f>N18</f>
        <v>0</v>
      </c>
      <c r="AZ20" s="328"/>
      <c r="BA20" s="328">
        <f>P18</f>
        <v>0</v>
      </c>
      <c r="BB20" s="328"/>
      <c r="BC20" s="328">
        <f>R18</f>
        <v>0</v>
      </c>
      <c r="BD20" s="328"/>
      <c r="BE20" s="328">
        <f>T18</f>
        <v>0</v>
      </c>
      <c r="BF20" s="328"/>
      <c r="BG20" s="328">
        <f>V18</f>
        <v>0</v>
      </c>
      <c r="BH20" s="328"/>
      <c r="BI20" s="328">
        <f>X18</f>
        <v>0</v>
      </c>
      <c r="BJ20" s="328"/>
      <c r="BK20" s="328">
        <f>Z18</f>
        <v>0</v>
      </c>
      <c r="BL20" s="328"/>
      <c r="BM20" s="328">
        <f>AB18</f>
        <v>0</v>
      </c>
      <c r="BN20" s="328"/>
      <c r="BO20" s="328">
        <f>AD18</f>
        <v>0</v>
      </c>
      <c r="BP20" s="328"/>
      <c r="BQ20" s="328">
        <f>AF18</f>
        <v>0</v>
      </c>
      <c r="BR20" s="328"/>
      <c r="BS20" s="328">
        <f>AH18</f>
        <v>0</v>
      </c>
      <c r="BT20" s="328"/>
      <c r="BU20" s="328">
        <f>AJ18</f>
        <v>0</v>
      </c>
      <c r="BV20" s="328"/>
    </row>
    <row r="21" spans="2:74" ht="14.25" customHeight="1">
      <c r="B21" s="425">
        <v>5018</v>
      </c>
      <c r="C21" s="60"/>
      <c r="D21" s="79" t="s">
        <v>726</v>
      </c>
      <c r="E21" s="60"/>
      <c r="F21" s="142"/>
      <c r="G21" s="192"/>
      <c r="H21" s="147"/>
      <c r="I21" s="192"/>
      <c r="J21" s="147"/>
      <c r="K21" s="192"/>
      <c r="L21" s="147"/>
      <c r="M21" s="192"/>
      <c r="N21" s="147"/>
      <c r="O21" s="192"/>
      <c r="P21" s="142"/>
      <c r="Q21" s="192"/>
      <c r="R21" s="142"/>
      <c r="S21" s="192"/>
      <c r="T21" s="142"/>
      <c r="U21" s="192"/>
      <c r="V21" s="142"/>
      <c r="W21" s="192"/>
      <c r="X21" s="142"/>
      <c r="Y21" s="192"/>
      <c r="Z21" s="142"/>
      <c r="AA21" s="192"/>
      <c r="AB21" s="147"/>
      <c r="AC21" s="192"/>
      <c r="AD21" s="142"/>
      <c r="AE21" s="192"/>
      <c r="AF21" s="142"/>
      <c r="AG21" s="192"/>
      <c r="AH21" s="142"/>
      <c r="AI21" s="192"/>
      <c r="AJ21" s="142"/>
      <c r="AK21" s="192"/>
      <c r="AN21" s="60">
        <v>10</v>
      </c>
      <c r="AO21" s="410" t="s">
        <v>160</v>
      </c>
      <c r="AP21" s="60" t="s">
        <v>161</v>
      </c>
      <c r="AQ21" s="328">
        <f>F20</f>
        <v>0</v>
      </c>
      <c r="AR21" s="328"/>
      <c r="AS21" s="328">
        <f>H20</f>
        <v>0</v>
      </c>
      <c r="AT21" s="328"/>
      <c r="AU21" s="328">
        <f>J20</f>
        <v>0</v>
      </c>
      <c r="AV21" s="328"/>
      <c r="AW21" s="328">
        <f>L20</f>
        <v>0</v>
      </c>
      <c r="AX21" s="328"/>
      <c r="AY21" s="328">
        <f>N20</f>
        <v>0</v>
      </c>
      <c r="AZ21" s="328"/>
      <c r="BA21" s="328">
        <f>P20</f>
        <v>0</v>
      </c>
      <c r="BB21" s="328"/>
      <c r="BC21" s="328">
        <f>R20</f>
        <v>0</v>
      </c>
      <c r="BD21" s="328"/>
      <c r="BE21" s="328">
        <f>T20</f>
        <v>0</v>
      </c>
      <c r="BF21" s="328"/>
      <c r="BG21" s="328">
        <f>V20</f>
        <v>0</v>
      </c>
      <c r="BH21" s="328"/>
      <c r="BI21" s="328">
        <f>X20</f>
        <v>0</v>
      </c>
      <c r="BJ21" s="328"/>
      <c r="BK21" s="328">
        <f>Z20</f>
        <v>0</v>
      </c>
      <c r="BL21" s="328"/>
      <c r="BM21" s="328">
        <f>AB20</f>
        <v>0</v>
      </c>
      <c r="BN21" s="328"/>
      <c r="BO21" s="328">
        <f>AD20</f>
        <v>0</v>
      </c>
      <c r="BP21" s="328"/>
      <c r="BQ21" s="328">
        <f>AF20</f>
        <v>0</v>
      </c>
      <c r="BR21" s="328"/>
      <c r="BS21" s="328">
        <f>AH20</f>
        <v>0</v>
      </c>
      <c r="BT21" s="328"/>
      <c r="BU21" s="328">
        <f>AJ20</f>
        <v>0</v>
      </c>
      <c r="BV21" s="328"/>
    </row>
    <row r="22" spans="2:74" ht="14.25" customHeight="1">
      <c r="B22" s="425">
        <v>300</v>
      </c>
      <c r="C22" s="26">
        <v>11</v>
      </c>
      <c r="D22" s="58" t="s">
        <v>115</v>
      </c>
      <c r="E22" s="26" t="s">
        <v>116</v>
      </c>
      <c r="F22" s="139"/>
      <c r="G22" s="180"/>
      <c r="H22" s="155"/>
      <c r="I22" s="180"/>
      <c r="J22" s="155"/>
      <c r="K22" s="180"/>
      <c r="L22" s="155"/>
      <c r="M22" s="180"/>
      <c r="N22" s="155"/>
      <c r="O22" s="180"/>
      <c r="P22" s="139"/>
      <c r="Q22" s="180"/>
      <c r="R22" s="139"/>
      <c r="S22" s="180"/>
      <c r="T22" s="139"/>
      <c r="U22" s="180"/>
      <c r="V22" s="139"/>
      <c r="W22" s="180"/>
      <c r="X22" s="139"/>
      <c r="Y22" s="180"/>
      <c r="Z22" s="139"/>
      <c r="AA22" s="180"/>
      <c r="AB22" s="155"/>
      <c r="AC22" s="180"/>
      <c r="AD22" s="139"/>
      <c r="AE22" s="180"/>
      <c r="AF22" s="139"/>
      <c r="AG22" s="179"/>
      <c r="AH22" s="139"/>
      <c r="AI22" s="180"/>
      <c r="AJ22" s="139"/>
      <c r="AK22" s="179"/>
      <c r="AN22" s="468" t="s">
        <v>677</v>
      </c>
      <c r="AO22" s="467" t="s">
        <v>598</v>
      </c>
      <c r="AP22" s="60"/>
      <c r="AQ22" s="328" t="str">
        <f>IF(OR(ISBLANK(F18),ISBLANK(F20)),"N/A",IF(AQ20&gt;=AQ21,"ok","&lt;&gt;"))</f>
        <v>N/A</v>
      </c>
      <c r="AR22" s="328"/>
      <c r="AS22" s="328" t="str">
        <f>IF(OR(ISBLANK(H18),ISBLANK(H20)),"N/A",IF(AS20&gt;=AS21,"ok","&lt;&gt;"))</f>
        <v>N/A</v>
      </c>
      <c r="AT22" s="328"/>
      <c r="AU22" s="328" t="str">
        <f>IF(OR(ISBLANK(J18),ISBLANK(J20)),"N/A",IF(AU20&gt;=AU21,"ok","&lt;&gt;"))</f>
        <v>N/A</v>
      </c>
      <c r="AV22" s="328"/>
      <c r="AW22" s="328" t="str">
        <f>IF(OR(ISBLANK(L18),ISBLANK(L20)),"N/A",IF(AW20&gt;=AW21,"ok","&lt;&gt;"))</f>
        <v>N/A</v>
      </c>
      <c r="AX22" s="328"/>
      <c r="AY22" s="328" t="str">
        <f>IF(OR(ISBLANK(N18),ISBLANK(N20)),"N/A",IF(AY20&gt;=AY21,"ok","&lt;&gt;"))</f>
        <v>N/A</v>
      </c>
      <c r="AZ22" s="328"/>
      <c r="BA22" s="328" t="str">
        <f>IF(OR(ISBLANK(P18),ISBLANK(P20)),"N/A",IF(BA20&gt;=BA21,"ok","&lt;&gt;"))</f>
        <v>N/A</v>
      </c>
      <c r="BB22" s="328"/>
      <c r="BC22" s="328" t="str">
        <f>IF(OR(ISBLANK(R18),ISBLANK(R20)),"N/A",IF(BC20&gt;=BC21,"ok","&lt;&gt;"))</f>
        <v>N/A</v>
      </c>
      <c r="BD22" s="328"/>
      <c r="BE22" s="328" t="str">
        <f>IF(OR(ISBLANK(T18),ISBLANK(T20)),"N/A",IF(BE20&gt;=BE21,"ok","&lt;&gt;"))</f>
        <v>N/A</v>
      </c>
      <c r="BF22" s="328"/>
      <c r="BG22" s="328" t="str">
        <f>IF(OR(ISBLANK(V18),ISBLANK(V20)),"N/A",IF(BG20&gt;=BG21,"ok","&lt;&gt;"))</f>
        <v>N/A</v>
      </c>
      <c r="BH22" s="328"/>
      <c r="BI22" s="328" t="str">
        <f>IF(OR(ISBLANK(X18),ISBLANK(X20)),"N/A",IF(BI20&gt;=BI21,"ok","&lt;&gt;"))</f>
        <v>N/A</v>
      </c>
      <c r="BJ22" s="328"/>
      <c r="BK22" s="328" t="str">
        <f>IF(OR(ISBLANK(Z18),ISBLANK(Z20)),"N/A",IF(BK20&gt;=BK21,"ok","&lt;&gt;"))</f>
        <v>N/A</v>
      </c>
      <c r="BL22" s="328"/>
      <c r="BM22" s="328" t="str">
        <f>IF(OR(ISBLANK(AB18),ISBLANK(AB20)),"N/A",IF(BM20&gt;=BM21,"ok","&lt;&gt;"))</f>
        <v>N/A</v>
      </c>
      <c r="BN22" s="328"/>
      <c r="BO22" s="328" t="str">
        <f>IF(OR(ISBLANK(AD18),ISBLANK(AD20)),"N/A",IF(BO20&gt;=BO21,"ok","&lt;&gt;"))</f>
        <v>N/A</v>
      </c>
      <c r="BP22" s="328"/>
      <c r="BQ22" s="328" t="str">
        <f>IF(OR(ISBLANK(AF18),ISBLANK(AF20)),"N/A",IF(BQ20&gt;=BQ21,"ok","&lt;&gt;"))</f>
        <v>N/A</v>
      </c>
      <c r="BR22" s="328"/>
      <c r="BS22" s="328" t="str">
        <f>IF(OR(ISBLANK(AH18),ISBLANK(AH20)),"N/A",IF(BS20&gt;=BS21,"ok","&lt;&gt;"))</f>
        <v>N/A</v>
      </c>
      <c r="BT22" s="328"/>
      <c r="BU22" s="328" t="str">
        <f>IF(OR(ISBLANK(AJ18),ISBLANK(AJ20)),"N/A",IF(BU20&gt;=BU21,"ok","&lt;&gt;"))</f>
        <v>N/A</v>
      </c>
      <c r="BV22" s="328"/>
    </row>
    <row r="23" spans="2:74" ht="14.25" customHeight="1">
      <c r="B23" s="425">
        <v>301</v>
      </c>
      <c r="C23" s="26">
        <v>12</v>
      </c>
      <c r="D23" s="58" t="s">
        <v>3</v>
      </c>
      <c r="E23" s="26" t="s">
        <v>117</v>
      </c>
      <c r="F23" s="139"/>
      <c r="G23" s="180"/>
      <c r="H23" s="155"/>
      <c r="I23" s="180"/>
      <c r="J23" s="155"/>
      <c r="K23" s="180"/>
      <c r="L23" s="155"/>
      <c r="M23" s="180"/>
      <c r="N23" s="155"/>
      <c r="O23" s="180"/>
      <c r="P23" s="139"/>
      <c r="Q23" s="180"/>
      <c r="R23" s="139"/>
      <c r="S23" s="180"/>
      <c r="T23" s="139"/>
      <c r="U23" s="180"/>
      <c r="V23" s="139"/>
      <c r="W23" s="180"/>
      <c r="X23" s="139"/>
      <c r="Y23" s="180"/>
      <c r="Z23" s="139"/>
      <c r="AA23" s="180"/>
      <c r="AB23" s="155"/>
      <c r="AC23" s="180"/>
      <c r="AD23" s="139"/>
      <c r="AE23" s="180"/>
      <c r="AF23" s="139"/>
      <c r="AG23" s="179"/>
      <c r="AH23" s="139"/>
      <c r="AI23" s="180"/>
      <c r="AJ23" s="139"/>
      <c r="AK23" s="179"/>
      <c r="AN23" s="60"/>
      <c r="AO23" s="79" t="s">
        <v>507</v>
      </c>
      <c r="AP23" s="60"/>
      <c r="AQ23" s="328"/>
      <c r="AR23" s="192"/>
      <c r="AS23" s="328"/>
      <c r="AT23" s="192"/>
      <c r="AU23" s="328"/>
      <c r="AV23" s="192"/>
      <c r="AW23" s="328"/>
      <c r="AX23" s="192"/>
      <c r="AY23" s="328"/>
      <c r="AZ23" s="192"/>
      <c r="BA23" s="328"/>
      <c r="BB23" s="192"/>
      <c r="BC23" s="328"/>
      <c r="BD23" s="192"/>
      <c r="BE23" s="328"/>
      <c r="BF23" s="192"/>
      <c r="BG23" s="328"/>
      <c r="BH23" s="192"/>
      <c r="BI23" s="328"/>
      <c r="BJ23" s="192"/>
      <c r="BK23" s="328"/>
      <c r="BL23" s="192"/>
      <c r="BM23" s="328"/>
      <c r="BN23" s="192"/>
      <c r="BO23" s="328"/>
      <c r="BP23" s="192"/>
      <c r="BQ23" s="328"/>
      <c r="BR23" s="192"/>
      <c r="BS23" s="328"/>
      <c r="BT23" s="192"/>
      <c r="BU23" s="328"/>
      <c r="BV23" s="192"/>
    </row>
    <row r="24" spans="2:74" ht="22.5">
      <c r="B24" s="425">
        <v>302</v>
      </c>
      <c r="C24" s="26">
        <v>13</v>
      </c>
      <c r="D24" s="58" t="s">
        <v>118</v>
      </c>
      <c r="E24" s="26" t="s">
        <v>119</v>
      </c>
      <c r="F24" s="139"/>
      <c r="G24" s="180"/>
      <c r="H24" s="155"/>
      <c r="I24" s="180"/>
      <c r="J24" s="155"/>
      <c r="K24" s="180"/>
      <c r="L24" s="155"/>
      <c r="M24" s="180"/>
      <c r="N24" s="155"/>
      <c r="O24" s="180"/>
      <c r="P24" s="139"/>
      <c r="Q24" s="180"/>
      <c r="R24" s="139"/>
      <c r="S24" s="180"/>
      <c r="T24" s="139"/>
      <c r="U24" s="180"/>
      <c r="V24" s="139"/>
      <c r="W24" s="180"/>
      <c r="X24" s="139"/>
      <c r="Y24" s="180"/>
      <c r="Z24" s="139"/>
      <c r="AA24" s="180"/>
      <c r="AB24" s="155"/>
      <c r="AC24" s="180"/>
      <c r="AD24" s="139"/>
      <c r="AE24" s="180"/>
      <c r="AF24" s="139"/>
      <c r="AG24" s="179"/>
      <c r="AH24" s="139"/>
      <c r="AI24" s="180"/>
      <c r="AJ24" s="139"/>
      <c r="AK24" s="179"/>
      <c r="AN24" s="60">
        <v>12</v>
      </c>
      <c r="AO24" s="410" t="s">
        <v>162</v>
      </c>
      <c r="AP24" s="60" t="s">
        <v>170</v>
      </c>
      <c r="AQ24" s="328">
        <f aca="true" t="shared" si="0" ref="AQ24:BV24">F23</f>
        <v>0</v>
      </c>
      <c r="AR24" s="328">
        <f t="shared" si="0"/>
        <v>0</v>
      </c>
      <c r="AS24" s="328">
        <f t="shared" si="0"/>
        <v>0</v>
      </c>
      <c r="AT24" s="328">
        <f t="shared" si="0"/>
        <v>0</v>
      </c>
      <c r="AU24" s="328">
        <f t="shared" si="0"/>
        <v>0</v>
      </c>
      <c r="AV24" s="328">
        <f t="shared" si="0"/>
        <v>0</v>
      </c>
      <c r="AW24" s="328">
        <f t="shared" si="0"/>
        <v>0</v>
      </c>
      <c r="AX24" s="328">
        <f t="shared" si="0"/>
        <v>0</v>
      </c>
      <c r="AY24" s="328">
        <f t="shared" si="0"/>
        <v>0</v>
      </c>
      <c r="AZ24" s="328">
        <f t="shared" si="0"/>
        <v>0</v>
      </c>
      <c r="BA24" s="328">
        <f t="shared" si="0"/>
        <v>0</v>
      </c>
      <c r="BB24" s="328">
        <f t="shared" si="0"/>
        <v>0</v>
      </c>
      <c r="BC24" s="328">
        <f t="shared" si="0"/>
        <v>0</v>
      </c>
      <c r="BD24" s="328">
        <f t="shared" si="0"/>
        <v>0</v>
      </c>
      <c r="BE24" s="328">
        <f t="shared" si="0"/>
        <v>0</v>
      </c>
      <c r="BF24" s="328">
        <f t="shared" si="0"/>
        <v>0</v>
      </c>
      <c r="BG24" s="328">
        <f t="shared" si="0"/>
        <v>0</v>
      </c>
      <c r="BH24" s="328">
        <f t="shared" si="0"/>
        <v>0</v>
      </c>
      <c r="BI24" s="328">
        <f t="shared" si="0"/>
        <v>0</v>
      </c>
      <c r="BJ24" s="328">
        <f t="shared" si="0"/>
        <v>0</v>
      </c>
      <c r="BK24" s="328">
        <f t="shared" si="0"/>
        <v>0</v>
      </c>
      <c r="BL24" s="328">
        <f t="shared" si="0"/>
        <v>0</v>
      </c>
      <c r="BM24" s="328">
        <f t="shared" si="0"/>
        <v>0</v>
      </c>
      <c r="BN24" s="328">
        <f t="shared" si="0"/>
        <v>0</v>
      </c>
      <c r="BO24" s="328">
        <f t="shared" si="0"/>
        <v>0</v>
      </c>
      <c r="BP24" s="328">
        <f t="shared" si="0"/>
        <v>0</v>
      </c>
      <c r="BQ24" s="328">
        <f t="shared" si="0"/>
        <v>0</v>
      </c>
      <c r="BR24" s="328">
        <f t="shared" si="0"/>
        <v>0</v>
      </c>
      <c r="BS24" s="328">
        <f t="shared" si="0"/>
        <v>0</v>
      </c>
      <c r="BT24" s="328">
        <f t="shared" si="0"/>
        <v>0</v>
      </c>
      <c r="BU24" s="328">
        <f t="shared" si="0"/>
        <v>0</v>
      </c>
      <c r="BV24" s="328">
        <f t="shared" si="0"/>
        <v>0</v>
      </c>
    </row>
    <row r="25" spans="2:74" ht="14.25" customHeight="1">
      <c r="B25" s="425">
        <v>303</v>
      </c>
      <c r="C25" s="26">
        <v>14</v>
      </c>
      <c r="D25" s="58" t="s">
        <v>120</v>
      </c>
      <c r="E25" s="26" t="s">
        <v>117</v>
      </c>
      <c r="F25" s="139"/>
      <c r="G25" s="180"/>
      <c r="H25" s="155"/>
      <c r="I25" s="180"/>
      <c r="J25" s="155"/>
      <c r="K25" s="180"/>
      <c r="L25" s="155"/>
      <c r="M25" s="180"/>
      <c r="N25" s="155"/>
      <c r="O25" s="180"/>
      <c r="P25" s="139"/>
      <c r="Q25" s="180"/>
      <c r="R25" s="139"/>
      <c r="S25" s="180"/>
      <c r="T25" s="139"/>
      <c r="U25" s="180"/>
      <c r="V25" s="139"/>
      <c r="W25" s="180"/>
      <c r="X25" s="139"/>
      <c r="Y25" s="180"/>
      <c r="Z25" s="139"/>
      <c r="AA25" s="180"/>
      <c r="AB25" s="155"/>
      <c r="AC25" s="180"/>
      <c r="AD25" s="139"/>
      <c r="AE25" s="180"/>
      <c r="AF25" s="139"/>
      <c r="AG25" s="179"/>
      <c r="AH25" s="139"/>
      <c r="AI25" s="180"/>
      <c r="AJ25" s="139"/>
      <c r="AK25" s="179"/>
      <c r="AN25" s="60">
        <v>14</v>
      </c>
      <c r="AO25" s="410" t="s">
        <v>159</v>
      </c>
      <c r="AP25" s="60" t="s">
        <v>170</v>
      </c>
      <c r="AQ25" s="328">
        <f aca="true" t="shared" si="1" ref="AQ25:BV25">F25</f>
        <v>0</v>
      </c>
      <c r="AR25" s="328">
        <f t="shared" si="1"/>
        <v>0</v>
      </c>
      <c r="AS25" s="328">
        <f t="shared" si="1"/>
        <v>0</v>
      </c>
      <c r="AT25" s="328">
        <f t="shared" si="1"/>
        <v>0</v>
      </c>
      <c r="AU25" s="328">
        <f t="shared" si="1"/>
        <v>0</v>
      </c>
      <c r="AV25" s="328">
        <f t="shared" si="1"/>
        <v>0</v>
      </c>
      <c r="AW25" s="328">
        <f t="shared" si="1"/>
        <v>0</v>
      </c>
      <c r="AX25" s="328">
        <f t="shared" si="1"/>
        <v>0</v>
      </c>
      <c r="AY25" s="328">
        <f t="shared" si="1"/>
        <v>0</v>
      </c>
      <c r="AZ25" s="328">
        <f t="shared" si="1"/>
        <v>0</v>
      </c>
      <c r="BA25" s="328">
        <f t="shared" si="1"/>
        <v>0</v>
      </c>
      <c r="BB25" s="328">
        <f t="shared" si="1"/>
        <v>0</v>
      </c>
      <c r="BC25" s="328">
        <f t="shared" si="1"/>
        <v>0</v>
      </c>
      <c r="BD25" s="328">
        <f t="shared" si="1"/>
        <v>0</v>
      </c>
      <c r="BE25" s="328">
        <f t="shared" si="1"/>
        <v>0</v>
      </c>
      <c r="BF25" s="328">
        <f t="shared" si="1"/>
        <v>0</v>
      </c>
      <c r="BG25" s="328">
        <f t="shared" si="1"/>
        <v>0</v>
      </c>
      <c r="BH25" s="328">
        <f t="shared" si="1"/>
        <v>0</v>
      </c>
      <c r="BI25" s="328">
        <f t="shared" si="1"/>
        <v>0</v>
      </c>
      <c r="BJ25" s="328">
        <f t="shared" si="1"/>
        <v>0</v>
      </c>
      <c r="BK25" s="328">
        <f t="shared" si="1"/>
        <v>0</v>
      </c>
      <c r="BL25" s="328">
        <f t="shared" si="1"/>
        <v>0</v>
      </c>
      <c r="BM25" s="328">
        <f t="shared" si="1"/>
        <v>0</v>
      </c>
      <c r="BN25" s="328">
        <f t="shared" si="1"/>
        <v>0</v>
      </c>
      <c r="BO25" s="328">
        <f t="shared" si="1"/>
        <v>0</v>
      </c>
      <c r="BP25" s="328">
        <f t="shared" si="1"/>
        <v>0</v>
      </c>
      <c r="BQ25" s="328">
        <f t="shared" si="1"/>
        <v>0</v>
      </c>
      <c r="BR25" s="328">
        <f t="shared" si="1"/>
        <v>0</v>
      </c>
      <c r="BS25" s="328">
        <f t="shared" si="1"/>
        <v>0</v>
      </c>
      <c r="BT25" s="328">
        <f t="shared" si="1"/>
        <v>0</v>
      </c>
      <c r="BU25" s="328">
        <f t="shared" si="1"/>
        <v>0</v>
      </c>
      <c r="BV25" s="328">
        <f t="shared" si="1"/>
        <v>0</v>
      </c>
    </row>
    <row r="26" spans="2:74" ht="21" customHeight="1">
      <c r="B26" s="425">
        <v>304</v>
      </c>
      <c r="C26" s="26">
        <v>15</v>
      </c>
      <c r="D26" s="58" t="s">
        <v>121</v>
      </c>
      <c r="E26" s="26" t="s">
        <v>119</v>
      </c>
      <c r="F26" s="139"/>
      <c r="G26" s="180"/>
      <c r="H26" s="155"/>
      <c r="I26" s="180"/>
      <c r="J26" s="155"/>
      <c r="K26" s="180"/>
      <c r="L26" s="155"/>
      <c r="M26" s="180"/>
      <c r="N26" s="155"/>
      <c r="O26" s="180"/>
      <c r="P26" s="139"/>
      <c r="Q26" s="180"/>
      <c r="R26" s="139"/>
      <c r="S26" s="180"/>
      <c r="T26" s="139"/>
      <c r="U26" s="180"/>
      <c r="V26" s="139"/>
      <c r="W26" s="180"/>
      <c r="X26" s="139"/>
      <c r="Y26" s="180"/>
      <c r="Z26" s="139"/>
      <c r="AA26" s="180"/>
      <c r="AB26" s="155"/>
      <c r="AC26" s="180"/>
      <c r="AD26" s="139"/>
      <c r="AE26" s="180"/>
      <c r="AF26" s="139"/>
      <c r="AG26" s="179"/>
      <c r="AH26" s="139"/>
      <c r="AI26" s="180"/>
      <c r="AJ26" s="139"/>
      <c r="AK26" s="179"/>
      <c r="AN26" s="468" t="s">
        <v>677</v>
      </c>
      <c r="AO26" s="467" t="s">
        <v>141</v>
      </c>
      <c r="AP26" s="60"/>
      <c r="AQ26" s="328" t="str">
        <f>IF(OR(ISBLANK(F23),ISBLANK(F25)),"N/A",IF(AQ24*1.2&gt;=AQ25,"ok","&lt;&gt;"))</f>
        <v>N/A</v>
      </c>
      <c r="AR26" s="328"/>
      <c r="AS26" s="328" t="str">
        <f>IF(OR(ISBLANK(H23),ISBLANK(H25)),"N/A",IF(AS24*1.2&gt;=AS25,"ok","&lt;&gt;"))</f>
        <v>N/A</v>
      </c>
      <c r="AT26" s="328"/>
      <c r="AU26" s="328" t="str">
        <f>IF(OR(ISBLANK(J23),ISBLANK(J25)),"N/A",IF(AU24*1.2&gt;=AU25,"ok","&lt;&gt;"))</f>
        <v>N/A</v>
      </c>
      <c r="AV26" s="328"/>
      <c r="AW26" s="328" t="str">
        <f>IF(OR(ISBLANK(L23),ISBLANK(L25)),"N/A",IF(AW24*1.2&gt;=AW25,"ok","&lt;&gt;"))</f>
        <v>N/A</v>
      </c>
      <c r="AX26" s="328"/>
      <c r="AY26" s="328" t="str">
        <f>IF(OR(ISBLANK(N23),ISBLANK(N25)),"N/A",IF(AY24*1.2&gt;=AY25,"ok","&lt;&gt;"))</f>
        <v>N/A</v>
      </c>
      <c r="AZ26" s="328"/>
      <c r="BA26" s="328" t="str">
        <f>IF(OR(ISBLANK(P23),ISBLANK(P25)),"N/A",IF(BA24*1.2&gt;=BA25,"ok","&lt;&gt;"))</f>
        <v>N/A</v>
      </c>
      <c r="BB26" s="328"/>
      <c r="BC26" s="328" t="str">
        <f>IF(OR(ISBLANK(R23),ISBLANK(R25)),"N/A",IF(BC24*1.2&gt;=BC25,"ok","&lt;&gt;"))</f>
        <v>N/A</v>
      </c>
      <c r="BD26" s="328"/>
      <c r="BE26" s="328" t="str">
        <f>IF(OR(ISBLANK(T23),ISBLANK(T25)),"N/A",IF(BE24*1.2&gt;=BE25,"ok","&lt;&gt;"))</f>
        <v>N/A</v>
      </c>
      <c r="BF26" s="328"/>
      <c r="BG26" s="328" t="str">
        <f>IF(OR(ISBLANK(V23),ISBLANK(V25)),"N/A",IF(BG24*1.2&gt;=BG25,"ok","&lt;&gt;"))</f>
        <v>N/A</v>
      </c>
      <c r="BH26" s="328"/>
      <c r="BI26" s="328" t="str">
        <f>IF(OR(ISBLANK(X23),ISBLANK(X25)),"N/A",IF(BI24*1.2&gt;=BI25,"ok","&lt;&gt;"))</f>
        <v>N/A</v>
      </c>
      <c r="BJ26" s="328"/>
      <c r="BK26" s="328" t="str">
        <f>IF(OR(ISBLANK(Z23),ISBLANK(Z25)),"N/A",IF(BK24*1.2&gt;=BK25,"ok","&lt;&gt;"))</f>
        <v>N/A</v>
      </c>
      <c r="BL26" s="328"/>
      <c r="BM26" s="328" t="str">
        <f>IF(OR(ISBLANK(AB23),ISBLANK(AB25)),"N/A",IF(BM24*1.2&gt;=BM25,"ok","&lt;&gt;"))</f>
        <v>N/A</v>
      </c>
      <c r="BN26" s="328"/>
      <c r="BO26" s="328" t="str">
        <f>IF(OR(ISBLANK(AD23),ISBLANK(AD25)),"N/A",IF(BO24*1.2&gt;=BO25,"ok","&lt;&gt;"))</f>
        <v>N/A</v>
      </c>
      <c r="BP26" s="328"/>
      <c r="BQ26" s="328" t="str">
        <f>IF(OR(ISBLANK(AF23),ISBLANK(AF25)),"N/A",IF(BQ24*1.2&gt;=BQ25,"ok","&lt;&gt;"))</f>
        <v>N/A</v>
      </c>
      <c r="BR26" s="328"/>
      <c r="BS26" s="328" t="str">
        <f>IF(OR(ISBLANK(AH23),ISBLANK(AH25)),"N/A",IF(BS24*1.2&gt;=BS25,"ok","&lt;&gt;"))</f>
        <v>N/A</v>
      </c>
      <c r="BT26" s="328"/>
      <c r="BU26" s="328" t="str">
        <f>IF(OR(ISBLANK(AJ23),ISBLANK(AJ25)),"N/A",IF(BU24*1.2&gt;=BU25,"ok","&lt;&gt;"))</f>
        <v>N/A</v>
      </c>
      <c r="BV26" s="328"/>
    </row>
    <row r="27" spans="1:74" s="80" customFormat="1" ht="15" customHeight="1">
      <c r="A27" s="397"/>
      <c r="B27" s="425">
        <v>5013</v>
      </c>
      <c r="C27" s="745" t="s">
        <v>1</v>
      </c>
      <c r="D27" s="746"/>
      <c r="E27" s="747"/>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c r="AM27" s="419"/>
      <c r="AN27" s="60">
        <v>13</v>
      </c>
      <c r="AO27" s="410" t="s">
        <v>163</v>
      </c>
      <c r="AP27" s="60" t="s">
        <v>161</v>
      </c>
      <c r="AQ27" s="328">
        <f>F24</f>
        <v>0</v>
      </c>
      <c r="AR27" s="328"/>
      <c r="AS27" s="328">
        <f>H24</f>
        <v>0</v>
      </c>
      <c r="AT27" s="328"/>
      <c r="AU27" s="328">
        <f>J24</f>
        <v>0</v>
      </c>
      <c r="AV27" s="328"/>
      <c r="AW27" s="328">
        <f>L24</f>
        <v>0</v>
      </c>
      <c r="AX27" s="328"/>
      <c r="AY27" s="328">
        <f>N24</f>
        <v>0</v>
      </c>
      <c r="AZ27" s="328"/>
      <c r="BA27" s="328">
        <f>P24</f>
        <v>0</v>
      </c>
      <c r="BB27" s="328"/>
      <c r="BC27" s="328">
        <f>R24</f>
        <v>0</v>
      </c>
      <c r="BD27" s="328"/>
      <c r="BE27" s="328">
        <f>T24</f>
        <v>0</v>
      </c>
      <c r="BF27" s="328"/>
      <c r="BG27" s="328">
        <f>V24</f>
        <v>0</v>
      </c>
      <c r="BH27" s="328"/>
      <c r="BI27" s="328">
        <f>X24</f>
        <v>0</v>
      </c>
      <c r="BJ27" s="328"/>
      <c r="BK27" s="328">
        <f>Z24</f>
        <v>0</v>
      </c>
      <c r="BL27" s="328"/>
      <c r="BM27" s="328">
        <f>AB24</f>
        <v>0</v>
      </c>
      <c r="BN27" s="328"/>
      <c r="BO27" s="328">
        <f>AD24</f>
        <v>0</v>
      </c>
      <c r="BP27" s="328"/>
      <c r="BQ27" s="328">
        <f>AF24</f>
        <v>0</v>
      </c>
      <c r="BR27" s="328"/>
      <c r="BS27" s="328">
        <f>AH24</f>
        <v>0</v>
      </c>
      <c r="BT27" s="328"/>
      <c r="BU27" s="328">
        <f>AJ24</f>
        <v>0</v>
      </c>
      <c r="BV27" s="328"/>
    </row>
    <row r="28" spans="1:74" s="81" customFormat="1" ht="15" customHeight="1">
      <c r="A28" s="397"/>
      <c r="B28" s="425">
        <v>305</v>
      </c>
      <c r="C28" s="26">
        <v>16</v>
      </c>
      <c r="D28" s="58" t="s">
        <v>115</v>
      </c>
      <c r="E28" s="26" t="s">
        <v>116</v>
      </c>
      <c r="F28" s="139"/>
      <c r="G28" s="180"/>
      <c r="H28" s="155"/>
      <c r="I28" s="180"/>
      <c r="J28" s="155"/>
      <c r="K28" s="180"/>
      <c r="L28" s="155"/>
      <c r="M28" s="180"/>
      <c r="N28" s="155"/>
      <c r="O28" s="180"/>
      <c r="P28" s="139"/>
      <c r="Q28" s="180"/>
      <c r="R28" s="139"/>
      <c r="S28" s="180"/>
      <c r="T28" s="139"/>
      <c r="U28" s="180"/>
      <c r="V28" s="139"/>
      <c r="W28" s="180"/>
      <c r="X28" s="139"/>
      <c r="Y28" s="180"/>
      <c r="Z28" s="139"/>
      <c r="AA28" s="180"/>
      <c r="AB28" s="155"/>
      <c r="AC28" s="180"/>
      <c r="AD28" s="139"/>
      <c r="AE28" s="180"/>
      <c r="AF28" s="139"/>
      <c r="AG28" s="179"/>
      <c r="AH28" s="139"/>
      <c r="AI28" s="180"/>
      <c r="AJ28" s="139"/>
      <c r="AK28" s="179"/>
      <c r="AM28" s="419"/>
      <c r="AN28" s="60">
        <v>15</v>
      </c>
      <c r="AO28" s="410" t="s">
        <v>160</v>
      </c>
      <c r="AP28" s="60" t="s">
        <v>161</v>
      </c>
      <c r="AQ28" s="328">
        <f>F26</f>
        <v>0</v>
      </c>
      <c r="AR28" s="328"/>
      <c r="AS28" s="328">
        <f>H26</f>
        <v>0</v>
      </c>
      <c r="AT28" s="328"/>
      <c r="AU28" s="328">
        <f>J26</f>
        <v>0</v>
      </c>
      <c r="AV28" s="328"/>
      <c r="AW28" s="328">
        <f>L26</f>
        <v>0</v>
      </c>
      <c r="AX28" s="328"/>
      <c r="AY28" s="328">
        <f>N26</f>
        <v>0</v>
      </c>
      <c r="AZ28" s="328"/>
      <c r="BA28" s="328">
        <f>P26</f>
        <v>0</v>
      </c>
      <c r="BB28" s="328"/>
      <c r="BC28" s="328">
        <f>R26</f>
        <v>0</v>
      </c>
      <c r="BD28" s="328"/>
      <c r="BE28" s="328">
        <f>T26</f>
        <v>0</v>
      </c>
      <c r="BF28" s="328"/>
      <c r="BG28" s="328">
        <f>V26</f>
        <v>0</v>
      </c>
      <c r="BH28" s="328"/>
      <c r="BI28" s="328">
        <f>X26</f>
        <v>0</v>
      </c>
      <c r="BJ28" s="328"/>
      <c r="BK28" s="328">
        <f>Z26</f>
        <v>0</v>
      </c>
      <c r="BL28" s="328"/>
      <c r="BM28" s="328">
        <f>AB26</f>
        <v>0</v>
      </c>
      <c r="BN28" s="328"/>
      <c r="BO28" s="328">
        <f>AD26</f>
        <v>0</v>
      </c>
      <c r="BP28" s="328"/>
      <c r="BQ28" s="328">
        <f>AF26</f>
        <v>0</v>
      </c>
      <c r="BR28" s="328"/>
      <c r="BS28" s="328">
        <f>AH26</f>
        <v>0</v>
      </c>
      <c r="BT28" s="328"/>
      <c r="BU28" s="328">
        <f>AJ26</f>
        <v>0</v>
      </c>
      <c r="BV28" s="328"/>
    </row>
    <row r="29" spans="1:74" s="80" customFormat="1" ht="15" customHeight="1">
      <c r="A29" s="424"/>
      <c r="B29" s="425">
        <v>306</v>
      </c>
      <c r="C29" s="26">
        <v>17</v>
      </c>
      <c r="D29" s="58" t="s">
        <v>3</v>
      </c>
      <c r="E29" s="26" t="s">
        <v>117</v>
      </c>
      <c r="F29" s="139"/>
      <c r="G29" s="180"/>
      <c r="H29" s="155"/>
      <c r="I29" s="180"/>
      <c r="J29" s="155"/>
      <c r="K29" s="180"/>
      <c r="L29" s="155"/>
      <c r="M29" s="180"/>
      <c r="N29" s="155"/>
      <c r="O29" s="180"/>
      <c r="P29" s="139"/>
      <c r="Q29" s="180"/>
      <c r="R29" s="139"/>
      <c r="S29" s="180"/>
      <c r="T29" s="139"/>
      <c r="U29" s="180"/>
      <c r="V29" s="139"/>
      <c r="W29" s="180"/>
      <c r="X29" s="139"/>
      <c r="Y29" s="180"/>
      <c r="Z29" s="139"/>
      <c r="AA29" s="180"/>
      <c r="AB29" s="155"/>
      <c r="AC29" s="180"/>
      <c r="AD29" s="139"/>
      <c r="AE29" s="180"/>
      <c r="AF29" s="139"/>
      <c r="AG29" s="179"/>
      <c r="AH29" s="139"/>
      <c r="AI29" s="180"/>
      <c r="AJ29" s="139"/>
      <c r="AK29" s="179"/>
      <c r="AM29" s="419"/>
      <c r="AN29" s="468" t="s">
        <v>677</v>
      </c>
      <c r="AO29" s="467" t="s">
        <v>599</v>
      </c>
      <c r="AP29" s="60"/>
      <c r="AQ29" s="328" t="str">
        <f>IF(OR(ISBLANK(F24),ISBLANK(F26)),"N/A",IF(AQ27&gt;=AQ28,"ok","&lt;&gt;"))</f>
        <v>N/A</v>
      </c>
      <c r="AR29" s="328"/>
      <c r="AS29" s="328" t="str">
        <f>IF(OR(ISBLANK(H24),ISBLANK(H26)),"N/A",IF(AS27&gt;=AS28,"ok","&lt;&gt;"))</f>
        <v>N/A</v>
      </c>
      <c r="AT29" s="328"/>
      <c r="AU29" s="328" t="str">
        <f>IF(OR(ISBLANK(J24),ISBLANK(J26)),"N/A",IF(AU27&gt;=AU28,"ok","&lt;&gt;"))</f>
        <v>N/A</v>
      </c>
      <c r="AV29" s="328"/>
      <c r="AW29" s="328" t="str">
        <f>IF(OR(ISBLANK(L24),ISBLANK(L26)),"N/A",IF(AW27&gt;=AW28,"ok","&lt;&gt;"))</f>
        <v>N/A</v>
      </c>
      <c r="AX29" s="328"/>
      <c r="AY29" s="328" t="str">
        <f>IF(OR(ISBLANK(N24),ISBLANK(N26)),"N/A",IF(AY27&gt;=AY28,"ok","&lt;&gt;"))</f>
        <v>N/A</v>
      </c>
      <c r="AZ29" s="328"/>
      <c r="BA29" s="328" t="str">
        <f>IF(OR(ISBLANK(P24),ISBLANK(P26)),"N/A",IF(BA27&gt;=BA28,"ok","&lt;&gt;"))</f>
        <v>N/A</v>
      </c>
      <c r="BB29" s="328"/>
      <c r="BC29" s="328" t="str">
        <f>IF(OR(ISBLANK(R24),ISBLANK(R26)),"N/A",IF(BC27&gt;=BC28,"ok","&lt;&gt;"))</f>
        <v>N/A</v>
      </c>
      <c r="BD29" s="328"/>
      <c r="BE29" s="328" t="str">
        <f>IF(OR(ISBLANK(T24),ISBLANK(T26)),"N/A",IF(BE27&gt;=BE28,"ok","&lt;&gt;"))</f>
        <v>N/A</v>
      </c>
      <c r="BF29" s="328"/>
      <c r="BG29" s="328" t="str">
        <f>IF(OR(ISBLANK(V24),ISBLANK(V26)),"N/A",IF(BG27&gt;=BG28,"ok","&lt;&gt;"))</f>
        <v>N/A</v>
      </c>
      <c r="BH29" s="328"/>
      <c r="BI29" s="328" t="str">
        <f>IF(OR(ISBLANK(X24),ISBLANK(X26)),"N/A",IF(BI27&gt;=BI28,"ok","&lt;&gt;"))</f>
        <v>N/A</v>
      </c>
      <c r="BJ29" s="328"/>
      <c r="BK29" s="328" t="str">
        <f>IF(OR(ISBLANK(Z24),ISBLANK(Z26)),"N/A",IF(BK27&gt;=BK28,"ok","&lt;&gt;"))</f>
        <v>N/A</v>
      </c>
      <c r="BL29" s="328"/>
      <c r="BM29" s="328" t="str">
        <f>IF(OR(ISBLANK(AB24),ISBLANK(AB26)),"N/A",IF(BM27&gt;=BM28,"ok","&lt;&gt;"))</f>
        <v>N/A</v>
      </c>
      <c r="BN29" s="328"/>
      <c r="BO29" s="328" t="str">
        <f>IF(OR(ISBLANK(AD24),ISBLANK(AD26)),"N/A",IF(BO27&gt;=BO28,"ok","&lt;&gt;"))</f>
        <v>N/A</v>
      </c>
      <c r="BP29" s="328"/>
      <c r="BQ29" s="328" t="str">
        <f>IF(OR(ISBLANK(AF24),ISBLANK(AF26)),"N/A",IF(BQ27&gt;=BQ28,"ok","&lt;&gt;"))</f>
        <v>N/A</v>
      </c>
      <c r="BR29" s="328"/>
      <c r="BS29" s="328" t="str">
        <f>IF(OR(ISBLANK(AH24),ISBLANK(AH26)),"N/A",IF(BS27&gt;=BS28,"ok","&lt;&gt;"))</f>
        <v>N/A</v>
      </c>
      <c r="BT29" s="328"/>
      <c r="BU29" s="328" t="str">
        <f>IF(OR(ISBLANK(AJ24),ISBLANK(AJ26)),"N/A",IF(BU27&gt;=BU28,"ok","&lt;&gt;"))</f>
        <v>N/A</v>
      </c>
      <c r="BV29" s="328"/>
    </row>
    <row r="30" spans="1:74" ht="22.5">
      <c r="A30" s="397"/>
      <c r="B30" s="425">
        <v>307</v>
      </c>
      <c r="C30" s="26">
        <v>18</v>
      </c>
      <c r="D30" s="58" t="s">
        <v>118</v>
      </c>
      <c r="E30" s="26" t="s">
        <v>119</v>
      </c>
      <c r="F30" s="139"/>
      <c r="G30" s="180"/>
      <c r="H30" s="155"/>
      <c r="I30" s="180"/>
      <c r="J30" s="155"/>
      <c r="K30" s="180"/>
      <c r="L30" s="155"/>
      <c r="M30" s="180"/>
      <c r="N30" s="155"/>
      <c r="O30" s="180"/>
      <c r="P30" s="139"/>
      <c r="Q30" s="180"/>
      <c r="R30" s="139"/>
      <c r="S30" s="180"/>
      <c r="T30" s="139"/>
      <c r="U30" s="180"/>
      <c r="V30" s="139"/>
      <c r="W30" s="180"/>
      <c r="X30" s="139"/>
      <c r="Y30" s="180"/>
      <c r="Z30" s="139"/>
      <c r="AA30" s="180"/>
      <c r="AB30" s="155"/>
      <c r="AC30" s="180"/>
      <c r="AD30" s="139"/>
      <c r="AE30" s="180"/>
      <c r="AF30" s="139"/>
      <c r="AG30" s="179"/>
      <c r="AH30" s="139"/>
      <c r="AI30" s="180"/>
      <c r="AJ30" s="139"/>
      <c r="AK30" s="179"/>
      <c r="AN30" s="745" t="s">
        <v>259</v>
      </c>
      <c r="AO30" s="746"/>
      <c r="AP30" s="747"/>
      <c r="AQ30" s="521"/>
      <c r="AR30" s="521"/>
      <c r="AS30" s="521"/>
      <c r="AT30" s="521"/>
      <c r="AU30" s="521"/>
      <c r="AV30" s="521"/>
      <c r="AW30" s="521"/>
      <c r="AX30" s="521"/>
      <c r="AY30" s="521"/>
      <c r="AZ30" s="521"/>
      <c r="BA30" s="521"/>
      <c r="BB30" s="521"/>
      <c r="BC30" s="521"/>
      <c r="BD30" s="521"/>
      <c r="BE30" s="521"/>
      <c r="BF30" s="521"/>
      <c r="BG30" s="521"/>
      <c r="BH30" s="521"/>
      <c r="BI30" s="521"/>
      <c r="BJ30" s="521"/>
      <c r="BK30" s="521"/>
      <c r="BL30" s="521"/>
      <c r="BM30" s="521"/>
      <c r="BN30" s="521"/>
      <c r="BO30" s="521"/>
      <c r="BP30" s="521"/>
      <c r="BQ30" s="521"/>
      <c r="BR30" s="521"/>
      <c r="BS30" s="521"/>
      <c r="BT30" s="521"/>
      <c r="BU30" s="521"/>
      <c r="BV30" s="521"/>
    </row>
    <row r="31" spans="2:74" ht="15" customHeight="1">
      <c r="B31" s="425">
        <v>308</v>
      </c>
      <c r="C31" s="26">
        <v>19</v>
      </c>
      <c r="D31" s="58" t="s">
        <v>120</v>
      </c>
      <c r="E31" s="26" t="s">
        <v>117</v>
      </c>
      <c r="F31" s="139"/>
      <c r="G31" s="180"/>
      <c r="H31" s="155"/>
      <c r="I31" s="180"/>
      <c r="J31" s="155"/>
      <c r="K31" s="180"/>
      <c r="L31" s="155"/>
      <c r="M31" s="180"/>
      <c r="N31" s="155"/>
      <c r="O31" s="180"/>
      <c r="P31" s="139"/>
      <c r="Q31" s="180"/>
      <c r="R31" s="139"/>
      <c r="S31" s="180"/>
      <c r="T31" s="139"/>
      <c r="U31" s="180"/>
      <c r="V31" s="139"/>
      <c r="W31" s="180"/>
      <c r="X31" s="139"/>
      <c r="Y31" s="180"/>
      <c r="Z31" s="139"/>
      <c r="AA31" s="180"/>
      <c r="AB31" s="155"/>
      <c r="AC31" s="180"/>
      <c r="AD31" s="139"/>
      <c r="AE31" s="180"/>
      <c r="AF31" s="139"/>
      <c r="AG31" s="179"/>
      <c r="AH31" s="139"/>
      <c r="AI31" s="180"/>
      <c r="AJ31" s="139"/>
      <c r="AK31" s="179"/>
      <c r="AN31" s="60">
        <v>17</v>
      </c>
      <c r="AO31" s="410" t="s">
        <v>162</v>
      </c>
      <c r="AP31" s="60" t="s">
        <v>170</v>
      </c>
      <c r="AQ31" s="328">
        <f>F29</f>
        <v>0</v>
      </c>
      <c r="AR31" s="328"/>
      <c r="AS31" s="328">
        <f>H29</f>
        <v>0</v>
      </c>
      <c r="AT31" s="328"/>
      <c r="AU31" s="328">
        <f>J29</f>
        <v>0</v>
      </c>
      <c r="AV31" s="328"/>
      <c r="AW31" s="328">
        <f>L29</f>
        <v>0</v>
      </c>
      <c r="AX31" s="328"/>
      <c r="AY31" s="328">
        <f>N29</f>
        <v>0</v>
      </c>
      <c r="AZ31" s="328"/>
      <c r="BA31" s="328">
        <f>P29</f>
        <v>0</v>
      </c>
      <c r="BB31" s="328"/>
      <c r="BC31" s="328">
        <f>R29</f>
        <v>0</v>
      </c>
      <c r="BD31" s="328"/>
      <c r="BE31" s="328">
        <f>T29</f>
        <v>0</v>
      </c>
      <c r="BF31" s="328"/>
      <c r="BG31" s="328">
        <f>V29</f>
        <v>0</v>
      </c>
      <c r="BH31" s="328"/>
      <c r="BI31" s="328">
        <f>X29</f>
        <v>0</v>
      </c>
      <c r="BJ31" s="328"/>
      <c r="BK31" s="328">
        <f>Z29</f>
        <v>0</v>
      </c>
      <c r="BL31" s="328"/>
      <c r="BM31" s="328">
        <f>AB29</f>
        <v>0</v>
      </c>
      <c r="BN31" s="328"/>
      <c r="BO31" s="328">
        <f>AD29</f>
        <v>0</v>
      </c>
      <c r="BP31" s="328"/>
      <c r="BQ31" s="328">
        <f>AF29</f>
        <v>0</v>
      </c>
      <c r="BR31" s="328"/>
      <c r="BS31" s="328">
        <f>AH29</f>
        <v>0</v>
      </c>
      <c r="BT31" s="328"/>
      <c r="BU31" s="328">
        <f>AJ29</f>
        <v>0</v>
      </c>
      <c r="BV31" s="328"/>
    </row>
    <row r="32" spans="2:74" ht="22.5">
      <c r="B32" s="425">
        <v>295</v>
      </c>
      <c r="C32" s="26">
        <v>20</v>
      </c>
      <c r="D32" s="58" t="s">
        <v>121</v>
      </c>
      <c r="E32" s="26" t="s">
        <v>119</v>
      </c>
      <c r="F32" s="139"/>
      <c r="G32" s="180"/>
      <c r="H32" s="155"/>
      <c r="I32" s="180"/>
      <c r="J32" s="155"/>
      <c r="K32" s="180"/>
      <c r="L32" s="155"/>
      <c r="M32" s="180"/>
      <c r="N32" s="155"/>
      <c r="O32" s="180"/>
      <c r="P32" s="139"/>
      <c r="Q32" s="180"/>
      <c r="R32" s="139"/>
      <c r="S32" s="180"/>
      <c r="T32" s="139"/>
      <c r="U32" s="180"/>
      <c r="V32" s="139"/>
      <c r="W32" s="180"/>
      <c r="X32" s="139"/>
      <c r="Y32" s="180"/>
      <c r="Z32" s="139"/>
      <c r="AA32" s="180"/>
      <c r="AB32" s="155"/>
      <c r="AC32" s="180"/>
      <c r="AD32" s="139"/>
      <c r="AE32" s="180"/>
      <c r="AF32" s="139"/>
      <c r="AG32" s="179"/>
      <c r="AH32" s="139"/>
      <c r="AI32" s="180"/>
      <c r="AJ32" s="139"/>
      <c r="AK32" s="179"/>
      <c r="AN32" s="60">
        <v>19</v>
      </c>
      <c r="AO32" s="410" t="s">
        <v>159</v>
      </c>
      <c r="AP32" s="60" t="s">
        <v>170</v>
      </c>
      <c r="AQ32" s="328">
        <f>F31</f>
        <v>0</v>
      </c>
      <c r="AR32" s="328"/>
      <c r="AS32" s="328">
        <f>H31</f>
        <v>0</v>
      </c>
      <c r="AT32" s="328"/>
      <c r="AU32" s="328">
        <f>J31</f>
        <v>0</v>
      </c>
      <c r="AV32" s="328"/>
      <c r="AW32" s="328">
        <f>L31</f>
        <v>0</v>
      </c>
      <c r="AX32" s="328"/>
      <c r="AY32" s="328">
        <f>N31</f>
        <v>0</v>
      </c>
      <c r="AZ32" s="328"/>
      <c r="BA32" s="328">
        <f>P31</f>
        <v>0</v>
      </c>
      <c r="BB32" s="328"/>
      <c r="BC32" s="328">
        <f>R31</f>
        <v>0</v>
      </c>
      <c r="BD32" s="328"/>
      <c r="BE32" s="328">
        <f>T31</f>
        <v>0</v>
      </c>
      <c r="BF32" s="328"/>
      <c r="BG32" s="328">
        <f>V31</f>
        <v>0</v>
      </c>
      <c r="BH32" s="328"/>
      <c r="BI32" s="328">
        <f>X31</f>
        <v>0</v>
      </c>
      <c r="BJ32" s="328"/>
      <c r="BK32" s="328">
        <f>Z31</f>
        <v>0</v>
      </c>
      <c r="BL32" s="328"/>
      <c r="BM32" s="328">
        <f>AB31</f>
        <v>0</v>
      </c>
      <c r="BN32" s="328"/>
      <c r="BO32" s="328">
        <f>AD31</f>
        <v>0</v>
      </c>
      <c r="BP32" s="328"/>
      <c r="BQ32" s="328">
        <f>AF31</f>
        <v>0</v>
      </c>
      <c r="BR32" s="328"/>
      <c r="BS32" s="328">
        <f>AH31</f>
        <v>0</v>
      </c>
      <c r="BT32" s="328"/>
      <c r="BU32" s="328">
        <f>AJ31</f>
        <v>0</v>
      </c>
      <c r="BV32" s="328"/>
    </row>
    <row r="33" spans="2:74" ht="15" customHeight="1">
      <c r="B33" s="425">
        <v>5020</v>
      </c>
      <c r="C33" s="748" t="s">
        <v>720</v>
      </c>
      <c r="D33" s="749"/>
      <c r="E33" s="74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N33" s="468" t="s">
        <v>677</v>
      </c>
      <c r="AO33" s="467" t="s">
        <v>142</v>
      </c>
      <c r="AP33" s="60"/>
      <c r="AQ33" s="328" t="str">
        <f>IF(OR(ISBLANK(F29),ISBLANK(F31)),"N/A",IF(AQ31*1.2&gt;=AQ32,"ok","&lt;&gt;"))</f>
        <v>N/A</v>
      </c>
      <c r="AR33" s="328"/>
      <c r="AS33" s="328" t="str">
        <f>IF(OR(ISBLANK(H29),ISBLANK(H31)),"N/A",IF(AS31*1.2&gt;=AS32,"ok","&lt;&gt;"))</f>
        <v>N/A</v>
      </c>
      <c r="AT33" s="328"/>
      <c r="AU33" s="328" t="str">
        <f>IF(OR(ISBLANK(J29),ISBLANK(J31)),"N/A",IF(AU31*1.2&gt;=AU32,"ok","&lt;&gt;"))</f>
        <v>N/A</v>
      </c>
      <c r="AV33" s="328"/>
      <c r="AW33" s="328" t="str">
        <f>IF(OR(ISBLANK(L29),ISBLANK(L31)),"N/A",IF(AW31*1.2&gt;=AW32,"ok","&lt;&gt;"))</f>
        <v>N/A</v>
      </c>
      <c r="AX33" s="328"/>
      <c r="AY33" s="328" t="str">
        <f>IF(OR(ISBLANK(N29),ISBLANK(N31)),"N/A",IF(AY31*1.2&gt;=AY32,"ok","&lt;&gt;"))</f>
        <v>N/A</v>
      </c>
      <c r="AZ33" s="328"/>
      <c r="BA33" s="328" t="str">
        <f>IF(OR(ISBLANK(P29),ISBLANK(P31)),"N/A",IF(BA31*1.2&gt;=BA32,"ok","&lt;&gt;"))</f>
        <v>N/A</v>
      </c>
      <c r="BB33" s="328"/>
      <c r="BC33" s="328" t="str">
        <f>IF(OR(ISBLANK(R29),ISBLANK(R31)),"N/A",IF(BC31*1.2&gt;=BC32,"ok","&lt;&gt;"))</f>
        <v>N/A</v>
      </c>
      <c r="BD33" s="328"/>
      <c r="BE33" s="328" t="str">
        <f>IF(OR(ISBLANK(T29),ISBLANK(T31)),"N/A",IF(BE31*1.2&gt;=BE32,"ok","&lt;&gt;"))</f>
        <v>N/A</v>
      </c>
      <c r="BF33" s="328"/>
      <c r="BG33" s="328" t="str">
        <f>IF(OR(ISBLANK(V29),ISBLANK(V31)),"N/A",IF(BG31*1.2&gt;=BG32,"ok","&lt;&gt;"))</f>
        <v>N/A</v>
      </c>
      <c r="BH33" s="328"/>
      <c r="BI33" s="328" t="str">
        <f>IF(OR(ISBLANK(X29),ISBLANK(X31)),"N/A",IF(BI31*1.2&gt;=BI32,"ok","&lt;&gt;"))</f>
        <v>N/A</v>
      </c>
      <c r="BJ33" s="328"/>
      <c r="BK33" s="328" t="str">
        <f>IF(OR(ISBLANK(Z29),ISBLANK(Z31)),"N/A",IF(BK31*1.2&gt;=BK32,"ok","&lt;&gt;"))</f>
        <v>N/A</v>
      </c>
      <c r="BL33" s="328"/>
      <c r="BM33" s="328" t="str">
        <f>IF(OR(ISBLANK(AB29),ISBLANK(AB31)),"N/A",IF(BM31*1.2&gt;=BM32,"ok","&lt;&gt;"))</f>
        <v>N/A</v>
      </c>
      <c r="BN33" s="328"/>
      <c r="BO33" s="328" t="str">
        <f>IF(OR(ISBLANK(AD29),ISBLANK(AD31)),"N/A",IF(BO31*1.2&gt;=BO32,"ok","&lt;&gt;"))</f>
        <v>N/A</v>
      </c>
      <c r="BP33" s="328"/>
      <c r="BQ33" s="328" t="str">
        <f>IF(OR(ISBLANK(AF29),ISBLANK(AF31)),"N/A",IF(BQ31*1.2&gt;=BQ32,"ok","&lt;&gt;"))</f>
        <v>N/A</v>
      </c>
      <c r="BR33" s="328"/>
      <c r="BS33" s="328" t="str">
        <f>IF(OR(ISBLANK(AH29),ISBLANK(AH31)),"N/A",IF(BS31*1.2&gt;=BS32,"ok","&lt;&gt;"))</f>
        <v>N/A</v>
      </c>
      <c r="BT33" s="328"/>
      <c r="BU33" s="328" t="str">
        <f>IF(OR(ISBLANK(AJ29),ISBLANK(AJ31)),"N/A",IF(BU31*1.2&gt;=BU32,"ok","&lt;&gt;"))</f>
        <v>N/A</v>
      </c>
      <c r="BV33" s="328"/>
    </row>
    <row r="34" spans="2:88" ht="13.5" customHeight="1">
      <c r="B34" s="398">
        <v>5021</v>
      </c>
      <c r="C34" s="60"/>
      <c r="D34" s="79" t="s">
        <v>114</v>
      </c>
      <c r="E34" s="60"/>
      <c r="F34" s="142"/>
      <c r="G34" s="192"/>
      <c r="H34" s="147"/>
      <c r="I34" s="192"/>
      <c r="J34" s="147"/>
      <c r="K34" s="192"/>
      <c r="L34" s="147"/>
      <c r="M34" s="192"/>
      <c r="N34" s="147"/>
      <c r="O34" s="192"/>
      <c r="P34" s="142"/>
      <c r="Q34" s="192"/>
      <c r="R34" s="142"/>
      <c r="S34" s="192"/>
      <c r="T34" s="142"/>
      <c r="U34" s="192"/>
      <c r="V34" s="142"/>
      <c r="W34" s="192"/>
      <c r="X34" s="142"/>
      <c r="Y34" s="192"/>
      <c r="Z34" s="142"/>
      <c r="AA34" s="192"/>
      <c r="AB34" s="147"/>
      <c r="AC34" s="192"/>
      <c r="AD34" s="142"/>
      <c r="AE34" s="192"/>
      <c r="AF34" s="142"/>
      <c r="AG34" s="192"/>
      <c r="AH34" s="142"/>
      <c r="AI34" s="192"/>
      <c r="AJ34" s="142"/>
      <c r="AK34" s="192"/>
      <c r="AL34" s="510"/>
      <c r="AM34" s="385"/>
      <c r="AN34" s="60">
        <v>18</v>
      </c>
      <c r="AO34" s="410" t="s">
        <v>163</v>
      </c>
      <c r="AP34" s="60" t="s">
        <v>161</v>
      </c>
      <c r="AQ34" s="328">
        <f>F30</f>
        <v>0</v>
      </c>
      <c r="AR34" s="328"/>
      <c r="AS34" s="328">
        <f>H30</f>
        <v>0</v>
      </c>
      <c r="AT34" s="328"/>
      <c r="AU34" s="328">
        <f>J30</f>
        <v>0</v>
      </c>
      <c r="AV34" s="328"/>
      <c r="AW34" s="328">
        <f>L30</f>
        <v>0</v>
      </c>
      <c r="AX34" s="328"/>
      <c r="AY34" s="328">
        <f>N30</f>
        <v>0</v>
      </c>
      <c r="AZ34" s="328"/>
      <c r="BA34" s="328">
        <f>P30</f>
        <v>0</v>
      </c>
      <c r="BB34" s="328"/>
      <c r="BC34" s="328">
        <f>R30</f>
        <v>0</v>
      </c>
      <c r="BD34" s="328"/>
      <c r="BE34" s="328">
        <f>T30</f>
        <v>0</v>
      </c>
      <c r="BF34" s="328"/>
      <c r="BG34" s="328">
        <f>V30</f>
        <v>0</v>
      </c>
      <c r="BH34" s="328"/>
      <c r="BI34" s="328">
        <f>X30</f>
        <v>0</v>
      </c>
      <c r="BJ34" s="328"/>
      <c r="BK34" s="328">
        <f>Z30</f>
        <v>0</v>
      </c>
      <c r="BL34" s="328"/>
      <c r="BM34" s="328">
        <f>AB30</f>
        <v>0</v>
      </c>
      <c r="BN34" s="328"/>
      <c r="BO34" s="328">
        <f>AD30</f>
        <v>0</v>
      </c>
      <c r="BP34" s="328"/>
      <c r="BQ34" s="328">
        <f>AF30</f>
        <v>0</v>
      </c>
      <c r="BR34" s="328"/>
      <c r="BS34" s="328">
        <f>AH30</f>
        <v>0</v>
      </c>
      <c r="BT34" s="328"/>
      <c r="BU34" s="328">
        <f>AJ30</f>
        <v>0</v>
      </c>
      <c r="BV34" s="328"/>
      <c r="BW34" s="14"/>
      <c r="BX34" s="14"/>
      <c r="BY34" s="14"/>
      <c r="BZ34" s="14"/>
      <c r="CA34" s="14"/>
      <c r="CB34" s="14"/>
      <c r="CC34" s="14"/>
      <c r="CD34" s="14"/>
      <c r="CE34" s="14"/>
      <c r="CF34" s="14"/>
      <c r="CG34" s="14"/>
      <c r="CH34" s="14"/>
      <c r="CI34" s="14"/>
      <c r="CJ34" s="14"/>
    </row>
    <row r="35" spans="2:88" ht="15" customHeight="1">
      <c r="B35" s="425">
        <v>309</v>
      </c>
      <c r="C35" s="26">
        <v>21</v>
      </c>
      <c r="D35" s="58" t="s">
        <v>122</v>
      </c>
      <c r="E35" s="26" t="s">
        <v>116</v>
      </c>
      <c r="F35" s="139"/>
      <c r="G35" s="180"/>
      <c r="H35" s="155"/>
      <c r="I35" s="180"/>
      <c r="J35" s="155"/>
      <c r="K35" s="180"/>
      <c r="L35" s="155"/>
      <c r="M35" s="180"/>
      <c r="N35" s="155"/>
      <c r="O35" s="180"/>
      <c r="P35" s="139"/>
      <c r="Q35" s="180"/>
      <c r="R35" s="139"/>
      <c r="S35" s="180"/>
      <c r="T35" s="139"/>
      <c r="U35" s="180"/>
      <c r="V35" s="139"/>
      <c r="W35" s="180"/>
      <c r="X35" s="139"/>
      <c r="Y35" s="180"/>
      <c r="Z35" s="139"/>
      <c r="AA35" s="180"/>
      <c r="AB35" s="155"/>
      <c r="AC35" s="180"/>
      <c r="AD35" s="139"/>
      <c r="AE35" s="180"/>
      <c r="AF35" s="139"/>
      <c r="AG35" s="179"/>
      <c r="AH35" s="139"/>
      <c r="AI35" s="180"/>
      <c r="AJ35" s="139"/>
      <c r="AK35" s="179"/>
      <c r="AL35" s="510"/>
      <c r="AM35" s="385"/>
      <c r="AN35" s="60">
        <v>20</v>
      </c>
      <c r="AO35" s="410" t="s">
        <v>160</v>
      </c>
      <c r="AP35" s="60" t="s">
        <v>161</v>
      </c>
      <c r="AQ35" s="328">
        <f>F32</f>
        <v>0</v>
      </c>
      <c r="AR35" s="328"/>
      <c r="AS35" s="328">
        <f>H32</f>
        <v>0</v>
      </c>
      <c r="AT35" s="328"/>
      <c r="AU35" s="328">
        <f>J32</f>
        <v>0</v>
      </c>
      <c r="AV35" s="328"/>
      <c r="AW35" s="328">
        <f>L32</f>
        <v>0</v>
      </c>
      <c r="AX35" s="328"/>
      <c r="AY35" s="328">
        <f>N32</f>
        <v>0</v>
      </c>
      <c r="AZ35" s="328"/>
      <c r="BA35" s="328">
        <f>P32</f>
        <v>0</v>
      </c>
      <c r="BB35" s="328"/>
      <c r="BC35" s="328">
        <f>R32</f>
        <v>0</v>
      </c>
      <c r="BD35" s="328"/>
      <c r="BE35" s="328">
        <f>T32</f>
        <v>0</v>
      </c>
      <c r="BF35" s="328"/>
      <c r="BG35" s="328">
        <f>V32</f>
        <v>0</v>
      </c>
      <c r="BH35" s="328"/>
      <c r="BI35" s="328">
        <f>X32</f>
        <v>0</v>
      </c>
      <c r="BJ35" s="328"/>
      <c r="BK35" s="328">
        <f>Z32</f>
        <v>0</v>
      </c>
      <c r="BL35" s="328"/>
      <c r="BM35" s="328">
        <f>AB32</f>
        <v>0</v>
      </c>
      <c r="BN35" s="328"/>
      <c r="BO35" s="328">
        <f>AD32</f>
        <v>0</v>
      </c>
      <c r="BP35" s="328"/>
      <c r="BQ35" s="328">
        <f>AF32</f>
        <v>0</v>
      </c>
      <c r="BR35" s="328"/>
      <c r="BS35" s="328">
        <f>AH32</f>
        <v>0</v>
      </c>
      <c r="BT35" s="328"/>
      <c r="BU35" s="328">
        <f>AJ32</f>
        <v>0</v>
      </c>
      <c r="BV35" s="328"/>
      <c r="BW35" s="14"/>
      <c r="BX35" s="14"/>
      <c r="BY35" s="14"/>
      <c r="BZ35" s="14"/>
      <c r="CA35" s="14"/>
      <c r="CB35" s="14"/>
      <c r="CC35" s="14"/>
      <c r="CD35" s="14"/>
      <c r="CE35" s="14"/>
      <c r="CF35" s="14"/>
      <c r="CG35" s="14"/>
      <c r="CH35" s="14"/>
      <c r="CI35" s="14"/>
      <c r="CJ35" s="14"/>
    </row>
    <row r="36" spans="1:88" ht="15" customHeight="1">
      <c r="A36" s="397"/>
      <c r="B36" s="425">
        <v>310</v>
      </c>
      <c r="C36" s="26">
        <v>22</v>
      </c>
      <c r="D36" s="58" t="s">
        <v>3</v>
      </c>
      <c r="E36" s="26" t="s">
        <v>117</v>
      </c>
      <c r="F36" s="139"/>
      <c r="G36" s="180"/>
      <c r="H36" s="155"/>
      <c r="I36" s="180"/>
      <c r="J36" s="155"/>
      <c r="K36" s="180"/>
      <c r="L36" s="155"/>
      <c r="M36" s="180"/>
      <c r="N36" s="155"/>
      <c r="O36" s="180"/>
      <c r="P36" s="139"/>
      <c r="Q36" s="180"/>
      <c r="R36" s="139"/>
      <c r="S36" s="180"/>
      <c r="T36" s="139"/>
      <c r="U36" s="180"/>
      <c r="V36" s="139"/>
      <c r="W36" s="180"/>
      <c r="X36" s="139"/>
      <c r="Y36" s="180"/>
      <c r="Z36" s="139"/>
      <c r="AA36" s="180"/>
      <c r="AB36" s="155"/>
      <c r="AC36" s="180"/>
      <c r="AD36" s="139"/>
      <c r="AE36" s="180"/>
      <c r="AF36" s="139"/>
      <c r="AG36" s="179"/>
      <c r="AH36" s="139"/>
      <c r="AI36" s="180"/>
      <c r="AJ36" s="139"/>
      <c r="AK36" s="179"/>
      <c r="AL36" s="510"/>
      <c r="AM36" s="385"/>
      <c r="AN36" s="468" t="s">
        <v>677</v>
      </c>
      <c r="AO36" s="467" t="s">
        <v>646</v>
      </c>
      <c r="AP36" s="60"/>
      <c r="AQ36" s="328" t="str">
        <f>IF(OR(ISBLANK(F30),ISBLANK(F32)),"N/A",IF(AQ34&gt;=AQ35,"ok","&lt;&gt;"))</f>
        <v>N/A</v>
      </c>
      <c r="AR36" s="328"/>
      <c r="AS36" s="328" t="str">
        <f>IF(OR(ISBLANK(H30),ISBLANK(H32)),"N/A",IF(AS34&gt;=AS35,"ok","&lt;&gt;"))</f>
        <v>N/A</v>
      </c>
      <c r="AT36" s="328"/>
      <c r="AU36" s="328" t="str">
        <f>IF(OR(ISBLANK(J30),ISBLANK(J32)),"N/A",IF(AU34&gt;=AU35,"ok","&lt;&gt;"))</f>
        <v>N/A</v>
      </c>
      <c r="AV36" s="328"/>
      <c r="AW36" s="328" t="str">
        <f>IF(OR(ISBLANK(L30),ISBLANK(L32)),"N/A",IF(AW34&gt;=AW35,"ok","&lt;&gt;"))</f>
        <v>N/A</v>
      </c>
      <c r="AX36" s="328"/>
      <c r="AY36" s="328" t="str">
        <f>IF(OR(ISBLANK(N30),ISBLANK(N32)),"N/A",IF(AY34&gt;=AY35,"ok","&lt;&gt;"))</f>
        <v>N/A</v>
      </c>
      <c r="AZ36" s="328"/>
      <c r="BA36" s="328" t="str">
        <f>IF(OR(ISBLANK(P30),ISBLANK(P32)),"N/A",IF(BA34&gt;=BA35,"ok","&lt;&gt;"))</f>
        <v>N/A</v>
      </c>
      <c r="BB36" s="328"/>
      <c r="BC36" s="328" t="str">
        <f>IF(OR(ISBLANK(R30),ISBLANK(R32)),"N/A",IF(BC34&gt;=BC35,"ok","&lt;&gt;"))</f>
        <v>N/A</v>
      </c>
      <c r="BD36" s="328"/>
      <c r="BE36" s="328" t="str">
        <f>IF(OR(ISBLANK(T30),ISBLANK(T32)),"N/A",IF(BE34&gt;=BE35,"ok","&lt;&gt;"))</f>
        <v>N/A</v>
      </c>
      <c r="BF36" s="328"/>
      <c r="BG36" s="328" t="str">
        <f>IF(OR(ISBLANK(V30),ISBLANK(V32)),"N/A",IF(BG34&gt;=BG35,"ok","&lt;&gt;"))</f>
        <v>N/A</v>
      </c>
      <c r="BH36" s="328"/>
      <c r="BI36" s="328" t="str">
        <f>IF(OR(ISBLANK(X30),ISBLANK(X32)),"N/A",IF(BI34&gt;=BI35,"ok","&lt;&gt;"))</f>
        <v>N/A</v>
      </c>
      <c r="BJ36" s="328"/>
      <c r="BK36" s="328" t="str">
        <f>IF(OR(ISBLANK(Z30),ISBLANK(Z32)),"N/A",IF(BK34&gt;=BK35,"ok","&lt;&gt;"))</f>
        <v>N/A</v>
      </c>
      <c r="BL36" s="328"/>
      <c r="BM36" s="328" t="str">
        <f>IF(OR(ISBLANK(AB30),ISBLANK(AB32)),"N/A",IF(BM34&gt;=BM35,"ok","&lt;&gt;"))</f>
        <v>N/A</v>
      </c>
      <c r="BN36" s="328"/>
      <c r="BO36" s="328" t="str">
        <f>IF(OR(ISBLANK(AD30),ISBLANK(AD32)),"N/A",IF(BO34&gt;=BO35,"ok","&lt;&gt;"))</f>
        <v>N/A</v>
      </c>
      <c r="BP36" s="328"/>
      <c r="BQ36" s="328" t="str">
        <f>IF(OR(ISBLANK(AF30),ISBLANK(AF32)),"N/A",IF(BQ34&gt;=BQ35,"ok","&lt;&gt;"))</f>
        <v>N/A</v>
      </c>
      <c r="BR36" s="328"/>
      <c r="BS36" s="328" t="str">
        <f>IF(OR(ISBLANK(AH30),ISBLANK(AH32)),"N/A",IF(BS34&gt;=BS35,"ok","&lt;&gt;"))</f>
        <v>N/A</v>
      </c>
      <c r="BT36" s="328"/>
      <c r="BU36" s="328" t="str">
        <f>IF(OR(ISBLANK(AJ30),ISBLANK(AJ32)),"N/A",IF(BU34&gt;=BU35,"ok","&lt;&gt;"))</f>
        <v>N/A</v>
      </c>
      <c r="BV36" s="328"/>
      <c r="BW36" s="14"/>
      <c r="BX36" s="14"/>
      <c r="BY36" s="14"/>
      <c r="BZ36" s="14"/>
      <c r="CA36" s="14"/>
      <c r="CB36" s="14"/>
      <c r="CC36" s="14"/>
      <c r="CD36" s="14"/>
      <c r="CE36" s="14"/>
      <c r="CF36" s="14"/>
      <c r="CG36" s="14"/>
      <c r="CH36" s="14"/>
      <c r="CI36" s="14"/>
      <c r="CJ36" s="14"/>
    </row>
    <row r="37" spans="1:74" s="24" customFormat="1" ht="22.5">
      <c r="A37" s="424"/>
      <c r="B37" s="425">
        <v>311</v>
      </c>
      <c r="C37" s="26">
        <v>23</v>
      </c>
      <c r="D37" s="58" t="s">
        <v>118</v>
      </c>
      <c r="E37" s="26" t="s">
        <v>119</v>
      </c>
      <c r="F37" s="139"/>
      <c r="G37" s="180"/>
      <c r="H37" s="155"/>
      <c r="I37" s="180"/>
      <c r="J37" s="155"/>
      <c r="K37" s="180"/>
      <c r="L37" s="155"/>
      <c r="M37" s="180"/>
      <c r="N37" s="155"/>
      <c r="O37" s="180"/>
      <c r="P37" s="139"/>
      <c r="Q37" s="180"/>
      <c r="R37" s="139"/>
      <c r="S37" s="180"/>
      <c r="T37" s="139"/>
      <c r="U37" s="180"/>
      <c r="V37" s="139"/>
      <c r="W37" s="180"/>
      <c r="X37" s="139"/>
      <c r="Y37" s="180"/>
      <c r="Z37" s="139"/>
      <c r="AA37" s="180"/>
      <c r="AB37" s="155"/>
      <c r="AC37" s="180"/>
      <c r="AD37" s="139"/>
      <c r="AE37" s="180"/>
      <c r="AF37" s="139"/>
      <c r="AG37" s="179"/>
      <c r="AH37" s="139"/>
      <c r="AI37" s="180"/>
      <c r="AJ37" s="139"/>
      <c r="AK37" s="179"/>
      <c r="AL37" s="279"/>
      <c r="AM37" s="307"/>
      <c r="AN37" s="748" t="s">
        <v>260</v>
      </c>
      <c r="AO37" s="749"/>
      <c r="AP37" s="749"/>
      <c r="AQ37" s="521"/>
      <c r="AR37" s="521"/>
      <c r="AS37" s="521"/>
      <c r="AT37" s="521"/>
      <c r="AU37" s="521"/>
      <c r="AV37" s="521"/>
      <c r="AW37" s="521"/>
      <c r="AX37" s="521"/>
      <c r="AY37" s="521"/>
      <c r="AZ37" s="521"/>
      <c r="BA37" s="521"/>
      <c r="BB37" s="521"/>
      <c r="BC37" s="521"/>
      <c r="BD37" s="521"/>
      <c r="BE37" s="521"/>
      <c r="BF37" s="521"/>
      <c r="BG37" s="521"/>
      <c r="BH37" s="521"/>
      <c r="BI37" s="521"/>
      <c r="BJ37" s="521"/>
      <c r="BK37" s="521"/>
      <c r="BL37" s="521"/>
      <c r="BM37" s="521"/>
      <c r="BN37" s="521"/>
      <c r="BO37" s="521"/>
      <c r="BP37" s="521"/>
      <c r="BQ37" s="521"/>
      <c r="BR37" s="521"/>
      <c r="BS37" s="521"/>
      <c r="BT37" s="521"/>
      <c r="BU37" s="521"/>
      <c r="BV37" s="521"/>
    </row>
    <row r="38" spans="1:74" s="80" customFormat="1" ht="15" customHeight="1">
      <c r="A38" s="424"/>
      <c r="B38" s="425">
        <v>312</v>
      </c>
      <c r="C38" s="26">
        <v>24</v>
      </c>
      <c r="D38" s="58" t="s">
        <v>120</v>
      </c>
      <c r="E38" s="26" t="s">
        <v>117</v>
      </c>
      <c r="F38" s="139"/>
      <c r="G38" s="180"/>
      <c r="H38" s="155"/>
      <c r="I38" s="180"/>
      <c r="J38" s="155"/>
      <c r="K38" s="180"/>
      <c r="L38" s="155"/>
      <c r="M38" s="180"/>
      <c r="N38" s="155"/>
      <c r="O38" s="180"/>
      <c r="P38" s="139"/>
      <c r="Q38" s="180"/>
      <c r="R38" s="139"/>
      <c r="S38" s="180"/>
      <c r="T38" s="139"/>
      <c r="U38" s="180"/>
      <c r="V38" s="139"/>
      <c r="W38" s="180"/>
      <c r="X38" s="139"/>
      <c r="Y38" s="180"/>
      <c r="Z38" s="139"/>
      <c r="AA38" s="180"/>
      <c r="AB38" s="155"/>
      <c r="AC38" s="180"/>
      <c r="AD38" s="139"/>
      <c r="AE38" s="180"/>
      <c r="AF38" s="139"/>
      <c r="AG38" s="179"/>
      <c r="AH38" s="139"/>
      <c r="AI38" s="180"/>
      <c r="AJ38" s="139"/>
      <c r="AK38" s="179"/>
      <c r="AM38" s="419"/>
      <c r="AN38" s="60"/>
      <c r="AO38" s="79" t="s">
        <v>658</v>
      </c>
      <c r="AP38" s="60"/>
      <c r="AQ38" s="142"/>
      <c r="AR38" s="192"/>
      <c r="AS38" s="142"/>
      <c r="AT38" s="192"/>
      <c r="AU38" s="142"/>
      <c r="AV38" s="192"/>
      <c r="AW38" s="142"/>
      <c r="AX38" s="192"/>
      <c r="AY38" s="142"/>
      <c r="AZ38" s="192"/>
      <c r="BA38" s="142"/>
      <c r="BB38" s="192"/>
      <c r="BC38" s="142"/>
      <c r="BD38" s="192"/>
      <c r="BE38" s="142"/>
      <c r="BF38" s="192"/>
      <c r="BG38" s="142"/>
      <c r="BH38" s="192"/>
      <c r="BI38" s="142"/>
      <c r="BJ38" s="192"/>
      <c r="BK38" s="142"/>
      <c r="BL38" s="192"/>
      <c r="BM38" s="142"/>
      <c r="BN38" s="192"/>
      <c r="BO38" s="142"/>
      <c r="BP38" s="192"/>
      <c r="BQ38" s="142"/>
      <c r="BR38" s="192"/>
      <c r="BS38" s="142"/>
      <c r="BT38" s="192"/>
      <c r="BU38" s="142"/>
      <c r="BV38" s="192"/>
    </row>
    <row r="39" spans="2:74" ht="22.5">
      <c r="B39" s="425">
        <v>313</v>
      </c>
      <c r="C39" s="26">
        <v>25</v>
      </c>
      <c r="D39" s="58" t="s">
        <v>121</v>
      </c>
      <c r="E39" s="26" t="s">
        <v>119</v>
      </c>
      <c r="F39" s="139"/>
      <c r="G39" s="180"/>
      <c r="H39" s="155"/>
      <c r="I39" s="180"/>
      <c r="J39" s="155"/>
      <c r="K39" s="180"/>
      <c r="L39" s="155"/>
      <c r="M39" s="180"/>
      <c r="N39" s="155"/>
      <c r="O39" s="180"/>
      <c r="P39" s="139"/>
      <c r="Q39" s="180"/>
      <c r="R39" s="139"/>
      <c r="S39" s="180"/>
      <c r="T39" s="139"/>
      <c r="U39" s="180"/>
      <c r="V39" s="139"/>
      <c r="W39" s="180"/>
      <c r="X39" s="139"/>
      <c r="Y39" s="180"/>
      <c r="Z39" s="139"/>
      <c r="AA39" s="180"/>
      <c r="AB39" s="155"/>
      <c r="AC39" s="180"/>
      <c r="AD39" s="139"/>
      <c r="AE39" s="180"/>
      <c r="AF39" s="139"/>
      <c r="AG39" s="179"/>
      <c r="AH39" s="139"/>
      <c r="AI39" s="180"/>
      <c r="AJ39" s="139"/>
      <c r="AK39" s="179"/>
      <c r="AN39" s="60">
        <v>22</v>
      </c>
      <c r="AO39" s="410" t="s">
        <v>162</v>
      </c>
      <c r="AP39" s="60" t="s">
        <v>170</v>
      </c>
      <c r="AQ39" s="328">
        <f>F36</f>
        <v>0</v>
      </c>
      <c r="AR39" s="328"/>
      <c r="AS39" s="328">
        <f>H36</f>
        <v>0</v>
      </c>
      <c r="AT39" s="328"/>
      <c r="AU39" s="328">
        <f>J36</f>
        <v>0</v>
      </c>
      <c r="AV39" s="328"/>
      <c r="AW39" s="328">
        <f>L36</f>
        <v>0</v>
      </c>
      <c r="AX39" s="328"/>
      <c r="AY39" s="328">
        <f>N36</f>
        <v>0</v>
      </c>
      <c r="AZ39" s="328"/>
      <c r="BA39" s="328">
        <f>P36</f>
        <v>0</v>
      </c>
      <c r="BB39" s="328"/>
      <c r="BC39" s="328">
        <f>R36</f>
        <v>0</v>
      </c>
      <c r="BD39" s="328"/>
      <c r="BE39" s="328">
        <f>T36</f>
        <v>0</v>
      </c>
      <c r="BF39" s="328"/>
      <c r="BG39" s="328">
        <f>V36</f>
        <v>0</v>
      </c>
      <c r="BH39" s="328"/>
      <c r="BI39" s="328">
        <f>X36</f>
        <v>0</v>
      </c>
      <c r="BJ39" s="328"/>
      <c r="BK39" s="328">
        <f>Z36</f>
        <v>0</v>
      </c>
      <c r="BL39" s="328"/>
      <c r="BM39" s="328">
        <f>AB36</f>
        <v>0</v>
      </c>
      <c r="BN39" s="328"/>
      <c r="BO39" s="328">
        <f>AD36</f>
        <v>0</v>
      </c>
      <c r="BP39" s="328"/>
      <c r="BQ39" s="328">
        <f>AF36</f>
        <v>0</v>
      </c>
      <c r="BR39" s="328"/>
      <c r="BS39" s="328">
        <f>AH36</f>
        <v>0</v>
      </c>
      <c r="BT39" s="328"/>
      <c r="BU39" s="328">
        <f>AJ36</f>
        <v>0</v>
      </c>
      <c r="BV39" s="328"/>
    </row>
    <row r="40" spans="2:74" ht="17.25" customHeight="1">
      <c r="B40" s="425">
        <v>5022</v>
      </c>
      <c r="C40" s="60"/>
      <c r="D40" s="79" t="s">
        <v>724</v>
      </c>
      <c r="E40" s="60"/>
      <c r="F40" s="142"/>
      <c r="G40" s="192"/>
      <c r="H40" s="147"/>
      <c r="I40" s="192"/>
      <c r="J40" s="147"/>
      <c r="K40" s="192"/>
      <c r="L40" s="147"/>
      <c r="M40" s="192"/>
      <c r="N40" s="147"/>
      <c r="O40" s="192"/>
      <c r="P40" s="142"/>
      <c r="Q40" s="192"/>
      <c r="R40" s="142"/>
      <c r="S40" s="192"/>
      <c r="T40" s="142"/>
      <c r="U40" s="192"/>
      <c r="V40" s="142"/>
      <c r="W40" s="192"/>
      <c r="X40" s="142"/>
      <c r="Y40" s="192"/>
      <c r="Z40" s="142"/>
      <c r="AA40" s="192"/>
      <c r="AB40" s="147"/>
      <c r="AC40" s="192"/>
      <c r="AD40" s="142"/>
      <c r="AE40" s="192"/>
      <c r="AF40" s="142"/>
      <c r="AG40" s="192"/>
      <c r="AH40" s="142"/>
      <c r="AI40" s="192"/>
      <c r="AJ40" s="142"/>
      <c r="AK40" s="192"/>
      <c r="AN40" s="60">
        <v>24</v>
      </c>
      <c r="AO40" s="410" t="s">
        <v>159</v>
      </c>
      <c r="AP40" s="60" t="s">
        <v>170</v>
      </c>
      <c r="AQ40" s="328">
        <f>F38</f>
        <v>0</v>
      </c>
      <c r="AR40" s="328"/>
      <c r="AS40" s="328">
        <f>H38</f>
        <v>0</v>
      </c>
      <c r="AT40" s="328"/>
      <c r="AU40" s="328">
        <f>J38</f>
        <v>0</v>
      </c>
      <c r="AV40" s="328"/>
      <c r="AW40" s="328">
        <f>L38</f>
        <v>0</v>
      </c>
      <c r="AX40" s="328"/>
      <c r="AY40" s="328">
        <f>N38</f>
        <v>0</v>
      </c>
      <c r="AZ40" s="328"/>
      <c r="BA40" s="328">
        <f>P38</f>
        <v>0</v>
      </c>
      <c r="BB40" s="328"/>
      <c r="BC40" s="328">
        <f>R38</f>
        <v>0</v>
      </c>
      <c r="BD40" s="328"/>
      <c r="BE40" s="328">
        <f>T38</f>
        <v>0</v>
      </c>
      <c r="BF40" s="328"/>
      <c r="BG40" s="328">
        <f>V38</f>
        <v>0</v>
      </c>
      <c r="BH40" s="328"/>
      <c r="BI40" s="328">
        <f>X38</f>
        <v>0</v>
      </c>
      <c r="BJ40" s="328"/>
      <c r="BK40" s="328">
        <f>Z38</f>
        <v>0</v>
      </c>
      <c r="BL40" s="328"/>
      <c r="BM40" s="328">
        <f>AB38</f>
        <v>0</v>
      </c>
      <c r="BN40" s="328"/>
      <c r="BO40" s="328">
        <f>AD38</f>
        <v>0</v>
      </c>
      <c r="BP40" s="328"/>
      <c r="BQ40" s="328">
        <f>AF38</f>
        <v>0</v>
      </c>
      <c r="BR40" s="328"/>
      <c r="BS40" s="328">
        <f>AH38</f>
        <v>0</v>
      </c>
      <c r="BT40" s="328"/>
      <c r="BU40" s="328">
        <f>AJ38</f>
        <v>0</v>
      </c>
      <c r="BV40" s="328"/>
    </row>
    <row r="41" spans="2:74" ht="15" customHeight="1">
      <c r="B41" s="425">
        <v>314</v>
      </c>
      <c r="C41" s="26">
        <v>26</v>
      </c>
      <c r="D41" s="58" t="s">
        <v>115</v>
      </c>
      <c r="E41" s="26" t="s">
        <v>116</v>
      </c>
      <c r="F41" s="139"/>
      <c r="G41" s="180"/>
      <c r="H41" s="155"/>
      <c r="I41" s="180"/>
      <c r="J41" s="155"/>
      <c r="K41" s="180"/>
      <c r="L41" s="155"/>
      <c r="M41" s="180"/>
      <c r="N41" s="155"/>
      <c r="O41" s="180"/>
      <c r="P41" s="139"/>
      <c r="Q41" s="180"/>
      <c r="R41" s="139"/>
      <c r="S41" s="180"/>
      <c r="T41" s="139"/>
      <c r="U41" s="180"/>
      <c r="V41" s="139"/>
      <c r="W41" s="180"/>
      <c r="X41" s="139"/>
      <c r="Y41" s="180"/>
      <c r="Z41" s="139"/>
      <c r="AA41" s="180"/>
      <c r="AB41" s="155"/>
      <c r="AC41" s="180"/>
      <c r="AD41" s="139"/>
      <c r="AE41" s="180"/>
      <c r="AF41" s="139"/>
      <c r="AG41" s="179"/>
      <c r="AH41" s="139"/>
      <c r="AI41" s="180"/>
      <c r="AJ41" s="139"/>
      <c r="AK41" s="179"/>
      <c r="AN41" s="468" t="s">
        <v>677</v>
      </c>
      <c r="AO41" s="467" t="s">
        <v>143</v>
      </c>
      <c r="AP41" s="60"/>
      <c r="AQ41" s="328" t="str">
        <f>IF(OR(ISBLANK(F36),ISBLANK(F38)),"N/A",IF(AQ39*1.2&gt;=AQ40,"ok","&lt;&gt;"))</f>
        <v>N/A</v>
      </c>
      <c r="AR41" s="328"/>
      <c r="AS41" s="328" t="str">
        <f>IF(OR(ISBLANK(H36),ISBLANK(H38)),"N/A",IF(AS39*1.2&gt;=AS40,"ok","&lt;&gt;"))</f>
        <v>N/A</v>
      </c>
      <c r="AT41" s="328"/>
      <c r="AU41" s="328" t="str">
        <f>IF(OR(ISBLANK(J36),ISBLANK(J38)),"N/A",IF(AU39*1.2&gt;=AU40,"ok","&lt;&gt;"))</f>
        <v>N/A</v>
      </c>
      <c r="AV41" s="328"/>
      <c r="AW41" s="328" t="str">
        <f>IF(OR(ISBLANK(L36),ISBLANK(L38)),"N/A",IF(AW39*1.2&gt;=AW40,"ok","&lt;&gt;"))</f>
        <v>N/A</v>
      </c>
      <c r="AX41" s="328"/>
      <c r="AY41" s="328" t="str">
        <f>IF(OR(ISBLANK(N36),ISBLANK(N38)),"N/A",IF(AY39*1.2&gt;=AY40,"ok","&lt;&gt;"))</f>
        <v>N/A</v>
      </c>
      <c r="AZ41" s="328"/>
      <c r="BA41" s="328" t="str">
        <f>IF(OR(ISBLANK(P36),ISBLANK(P38)),"N/A",IF(BA39*1.2&gt;=BA40,"ok","&lt;&gt;"))</f>
        <v>N/A</v>
      </c>
      <c r="BB41" s="328"/>
      <c r="BC41" s="328" t="str">
        <f>IF(OR(ISBLANK(R36),ISBLANK(R38)),"N/A",IF(BC39*1.2&gt;=BC40,"ok","&lt;&gt;"))</f>
        <v>N/A</v>
      </c>
      <c r="BD41" s="328"/>
      <c r="BE41" s="328" t="str">
        <f>IF(OR(ISBLANK(T36),ISBLANK(T38)),"N/A",IF(BE39*1.2&gt;=BE40,"ok","&lt;&gt;"))</f>
        <v>N/A</v>
      </c>
      <c r="BF41" s="328"/>
      <c r="BG41" s="328" t="str">
        <f>IF(OR(ISBLANK(V36),ISBLANK(V38)),"N/A",IF(BG39*1.2&gt;=BG40,"ok","&lt;&gt;"))</f>
        <v>N/A</v>
      </c>
      <c r="BH41" s="328"/>
      <c r="BI41" s="328" t="str">
        <f>IF(OR(ISBLANK(X36),ISBLANK(X38)),"N/A",IF(BI39*1.2&gt;=BI40,"ok","&lt;&gt;"))</f>
        <v>N/A</v>
      </c>
      <c r="BJ41" s="328"/>
      <c r="BK41" s="328" t="str">
        <f>IF(OR(ISBLANK(Z36),ISBLANK(Z38)),"N/A",IF(BK39*1.2&gt;=BK40,"ok","&lt;&gt;"))</f>
        <v>N/A</v>
      </c>
      <c r="BL41" s="328"/>
      <c r="BM41" s="328" t="str">
        <f>IF(OR(ISBLANK(AB36),ISBLANK(AB38)),"N/A",IF(BM39*1.2&gt;=BM40,"ok","&lt;&gt;"))</f>
        <v>N/A</v>
      </c>
      <c r="BN41" s="328"/>
      <c r="BO41" s="328" t="str">
        <f>IF(OR(ISBLANK(AD36),ISBLANK(AD38)),"N/A",IF(BO39*1.2&gt;=BO40,"ok","&lt;&gt;"))</f>
        <v>N/A</v>
      </c>
      <c r="BP41" s="328"/>
      <c r="BQ41" s="328" t="str">
        <f>IF(OR(ISBLANK(AF36),ISBLANK(AF38)),"N/A",IF(BQ39*1.2&gt;=BQ40,"ok","&lt;&gt;"))</f>
        <v>N/A</v>
      </c>
      <c r="BR41" s="328"/>
      <c r="BS41" s="328" t="str">
        <f>IF(OR(ISBLANK(AH36),ISBLANK(AH38)),"N/A",IF(BS39*1.2&gt;=BS40,"ok","&lt;&gt;"))</f>
        <v>N/A</v>
      </c>
      <c r="BT41" s="328"/>
      <c r="BU41" s="328" t="str">
        <f>IF(OR(ISBLANK(AJ36),ISBLANK(AJ38)),"N/A",IF(BU39*1.2&gt;=BU40,"ok","&lt;&gt;"))</f>
        <v>N/A</v>
      </c>
      <c r="BV41" s="328"/>
    </row>
    <row r="42" spans="2:74" ht="15" customHeight="1">
      <c r="B42" s="425">
        <v>315</v>
      </c>
      <c r="C42" s="26">
        <v>27</v>
      </c>
      <c r="D42" s="58" t="s">
        <v>3</v>
      </c>
      <c r="E42" s="26" t="s">
        <v>117</v>
      </c>
      <c r="F42" s="139"/>
      <c r="G42" s="180"/>
      <c r="H42" s="155"/>
      <c r="I42" s="180"/>
      <c r="J42" s="155"/>
      <c r="K42" s="180"/>
      <c r="L42" s="155"/>
      <c r="M42" s="180"/>
      <c r="N42" s="155"/>
      <c r="O42" s="180"/>
      <c r="P42" s="139"/>
      <c r="Q42" s="180"/>
      <c r="R42" s="139"/>
      <c r="S42" s="180"/>
      <c r="T42" s="139"/>
      <c r="U42" s="180"/>
      <c r="V42" s="139"/>
      <c r="W42" s="180"/>
      <c r="X42" s="139"/>
      <c r="Y42" s="180"/>
      <c r="Z42" s="139"/>
      <c r="AA42" s="180"/>
      <c r="AB42" s="155"/>
      <c r="AC42" s="180"/>
      <c r="AD42" s="139"/>
      <c r="AE42" s="180"/>
      <c r="AF42" s="139"/>
      <c r="AG42" s="179"/>
      <c r="AH42" s="139"/>
      <c r="AI42" s="180"/>
      <c r="AJ42" s="139"/>
      <c r="AK42" s="179"/>
      <c r="AN42" s="60">
        <v>23</v>
      </c>
      <c r="AO42" s="410" t="s">
        <v>163</v>
      </c>
      <c r="AP42" s="60" t="s">
        <v>161</v>
      </c>
      <c r="AQ42" s="328">
        <f>F37</f>
        <v>0</v>
      </c>
      <c r="AR42" s="328"/>
      <c r="AS42" s="328">
        <f>H37</f>
        <v>0</v>
      </c>
      <c r="AT42" s="328"/>
      <c r="AU42" s="328">
        <f>J37</f>
        <v>0</v>
      </c>
      <c r="AV42" s="328"/>
      <c r="AW42" s="328">
        <f>L37</f>
        <v>0</v>
      </c>
      <c r="AX42" s="328"/>
      <c r="AY42" s="328">
        <f>N37</f>
        <v>0</v>
      </c>
      <c r="AZ42" s="328"/>
      <c r="BA42" s="328">
        <f>P37</f>
        <v>0</v>
      </c>
      <c r="BB42" s="328"/>
      <c r="BC42" s="328">
        <f>R37</f>
        <v>0</v>
      </c>
      <c r="BD42" s="328"/>
      <c r="BE42" s="328">
        <f>T37</f>
        <v>0</v>
      </c>
      <c r="BF42" s="328"/>
      <c r="BG42" s="328">
        <f>V37</f>
        <v>0</v>
      </c>
      <c r="BH42" s="328"/>
      <c r="BI42" s="328">
        <f>X37</f>
        <v>0</v>
      </c>
      <c r="BJ42" s="328"/>
      <c r="BK42" s="328">
        <f>Z37</f>
        <v>0</v>
      </c>
      <c r="BL42" s="328"/>
      <c r="BM42" s="328">
        <f>AB37</f>
        <v>0</v>
      </c>
      <c r="BN42" s="328"/>
      <c r="BO42" s="328">
        <f>AD37</f>
        <v>0</v>
      </c>
      <c r="BP42" s="328"/>
      <c r="BQ42" s="328">
        <f>AF37</f>
        <v>0</v>
      </c>
      <c r="BR42" s="328"/>
      <c r="BS42" s="328">
        <f>AH37</f>
        <v>0</v>
      </c>
      <c r="BT42" s="328"/>
      <c r="BU42" s="328">
        <f>AJ37</f>
        <v>0</v>
      </c>
      <c r="BV42" s="328"/>
    </row>
    <row r="43" spans="2:74" ht="22.5">
      <c r="B43" s="425">
        <v>316</v>
      </c>
      <c r="C43" s="26">
        <v>28</v>
      </c>
      <c r="D43" s="58" t="s">
        <v>118</v>
      </c>
      <c r="E43" s="26" t="s">
        <v>119</v>
      </c>
      <c r="F43" s="139"/>
      <c r="G43" s="180"/>
      <c r="H43" s="155"/>
      <c r="I43" s="180"/>
      <c r="J43" s="155"/>
      <c r="K43" s="180"/>
      <c r="L43" s="155"/>
      <c r="M43" s="180"/>
      <c r="N43" s="155"/>
      <c r="O43" s="180"/>
      <c r="P43" s="139"/>
      <c r="Q43" s="180"/>
      <c r="R43" s="139"/>
      <c r="S43" s="180"/>
      <c r="T43" s="139"/>
      <c r="U43" s="180"/>
      <c r="V43" s="139"/>
      <c r="W43" s="180"/>
      <c r="X43" s="139"/>
      <c r="Y43" s="180"/>
      <c r="Z43" s="139"/>
      <c r="AA43" s="180"/>
      <c r="AB43" s="155"/>
      <c r="AC43" s="180"/>
      <c r="AD43" s="139"/>
      <c r="AE43" s="180"/>
      <c r="AF43" s="139"/>
      <c r="AG43" s="179"/>
      <c r="AH43" s="139"/>
      <c r="AI43" s="180"/>
      <c r="AJ43" s="139"/>
      <c r="AK43" s="179"/>
      <c r="AN43" s="60">
        <v>25</v>
      </c>
      <c r="AO43" s="410" t="s">
        <v>160</v>
      </c>
      <c r="AP43" s="60" t="s">
        <v>161</v>
      </c>
      <c r="AQ43" s="328">
        <f>F39</f>
        <v>0</v>
      </c>
      <c r="AR43" s="328"/>
      <c r="AS43" s="328">
        <f>H39</f>
        <v>0</v>
      </c>
      <c r="AT43" s="328"/>
      <c r="AU43" s="328">
        <f>J39</f>
        <v>0</v>
      </c>
      <c r="AV43" s="328"/>
      <c r="AW43" s="328">
        <f>L39</f>
        <v>0</v>
      </c>
      <c r="AX43" s="328"/>
      <c r="AY43" s="328">
        <f>N39</f>
        <v>0</v>
      </c>
      <c r="AZ43" s="328"/>
      <c r="BA43" s="328">
        <f>P39</f>
        <v>0</v>
      </c>
      <c r="BB43" s="328"/>
      <c r="BC43" s="328">
        <f>R39</f>
        <v>0</v>
      </c>
      <c r="BD43" s="328"/>
      <c r="BE43" s="328">
        <f>T39</f>
        <v>0</v>
      </c>
      <c r="BF43" s="328"/>
      <c r="BG43" s="328">
        <f>V39</f>
        <v>0</v>
      </c>
      <c r="BH43" s="328"/>
      <c r="BI43" s="328">
        <f>X39</f>
        <v>0</v>
      </c>
      <c r="BJ43" s="328"/>
      <c r="BK43" s="328">
        <f>Z39</f>
        <v>0</v>
      </c>
      <c r="BL43" s="328"/>
      <c r="BM43" s="328">
        <f>AB39</f>
        <v>0</v>
      </c>
      <c r="BN43" s="328"/>
      <c r="BO43" s="328">
        <f>AD39</f>
        <v>0</v>
      </c>
      <c r="BP43" s="328"/>
      <c r="BQ43" s="328">
        <f>AF39</f>
        <v>0</v>
      </c>
      <c r="BR43" s="328"/>
      <c r="BS43" s="328">
        <f>AH39</f>
        <v>0</v>
      </c>
      <c r="BT43" s="328"/>
      <c r="BU43" s="328">
        <f>AJ39</f>
        <v>0</v>
      </c>
      <c r="BV43" s="328"/>
    </row>
    <row r="44" spans="2:74" ht="15" customHeight="1">
      <c r="B44" s="425">
        <v>317</v>
      </c>
      <c r="C44" s="26">
        <v>29</v>
      </c>
      <c r="D44" s="58" t="s">
        <v>120</v>
      </c>
      <c r="E44" s="26" t="s">
        <v>117</v>
      </c>
      <c r="F44" s="139"/>
      <c r="G44" s="180"/>
      <c r="H44" s="155"/>
      <c r="I44" s="180"/>
      <c r="J44" s="155"/>
      <c r="K44" s="180"/>
      <c r="L44" s="155"/>
      <c r="M44" s="180"/>
      <c r="N44" s="155"/>
      <c r="O44" s="180"/>
      <c r="P44" s="139"/>
      <c r="Q44" s="180"/>
      <c r="R44" s="139"/>
      <c r="S44" s="180"/>
      <c r="T44" s="139"/>
      <c r="U44" s="180"/>
      <c r="V44" s="139"/>
      <c r="W44" s="180"/>
      <c r="X44" s="139"/>
      <c r="Y44" s="180"/>
      <c r="Z44" s="139"/>
      <c r="AA44" s="180"/>
      <c r="AB44" s="155"/>
      <c r="AC44" s="180"/>
      <c r="AD44" s="139"/>
      <c r="AE44" s="180"/>
      <c r="AF44" s="139"/>
      <c r="AG44" s="179"/>
      <c r="AH44" s="139"/>
      <c r="AI44" s="180"/>
      <c r="AJ44" s="139"/>
      <c r="AK44" s="179"/>
      <c r="AN44" s="468" t="s">
        <v>677</v>
      </c>
      <c r="AO44" s="467" t="s">
        <v>647</v>
      </c>
      <c r="AP44" s="60"/>
      <c r="AQ44" s="328" t="str">
        <f>IF(OR(ISBLANK(F37),ISBLANK(F39)),"N/A",IF(AQ42&gt;=AQ43,"ok","&lt;&gt;"))</f>
        <v>N/A</v>
      </c>
      <c r="AR44" s="328"/>
      <c r="AS44" s="328" t="str">
        <f>IF(OR(ISBLANK(H37),ISBLANK(H39)),"N/A",IF(AS42&gt;=AS43,"ok","&lt;&gt;"))</f>
        <v>N/A</v>
      </c>
      <c r="AT44" s="328"/>
      <c r="AU44" s="328" t="str">
        <f>IF(OR(ISBLANK(J37),ISBLANK(J39)),"N/A",IF(AU42&gt;=AU43,"ok","&lt;&gt;"))</f>
        <v>N/A</v>
      </c>
      <c r="AV44" s="328"/>
      <c r="AW44" s="328" t="str">
        <f>IF(OR(ISBLANK(L37),ISBLANK(L39)),"N/A",IF(AW42&gt;=AW43,"ok","&lt;&gt;"))</f>
        <v>N/A</v>
      </c>
      <c r="AX44" s="328"/>
      <c r="AY44" s="328" t="str">
        <f>IF(OR(ISBLANK(N37),ISBLANK(N39)),"N/A",IF(AY42&gt;=AY43,"ok","&lt;&gt;"))</f>
        <v>N/A</v>
      </c>
      <c r="AZ44" s="328"/>
      <c r="BA44" s="328" t="str">
        <f>IF(OR(ISBLANK(P37),ISBLANK(P39)),"N/A",IF(BA42&gt;=BA43,"ok","&lt;&gt;"))</f>
        <v>N/A</v>
      </c>
      <c r="BB44" s="328"/>
      <c r="BC44" s="328" t="str">
        <f>IF(OR(ISBLANK(R37),ISBLANK(R39)),"N/A",IF(BC42&gt;=BC43,"ok","&lt;&gt;"))</f>
        <v>N/A</v>
      </c>
      <c r="BD44" s="328"/>
      <c r="BE44" s="328" t="str">
        <f>IF(OR(ISBLANK(T37),ISBLANK(T39)),"N/A",IF(BE42&gt;=BE43,"ok","&lt;&gt;"))</f>
        <v>N/A</v>
      </c>
      <c r="BF44" s="328"/>
      <c r="BG44" s="328" t="str">
        <f>IF(OR(ISBLANK(V37),ISBLANK(V39)),"N/A",IF(BG42&gt;=BG43,"ok","&lt;&gt;"))</f>
        <v>N/A</v>
      </c>
      <c r="BH44" s="328"/>
      <c r="BI44" s="328" t="str">
        <f>IF(OR(ISBLANK(X37),ISBLANK(X39)),"N/A",IF(BI42&gt;=BI43,"ok","&lt;&gt;"))</f>
        <v>N/A</v>
      </c>
      <c r="BJ44" s="328"/>
      <c r="BK44" s="328" t="str">
        <f>IF(OR(ISBLANK(Z37),ISBLANK(Z39)),"N/A",IF(BK42&gt;=BK43,"ok","&lt;&gt;"))</f>
        <v>N/A</v>
      </c>
      <c r="BL44" s="328"/>
      <c r="BM44" s="328" t="str">
        <f>IF(OR(ISBLANK(AB37),ISBLANK(AB39)),"N/A",IF(BM42&gt;=BM43,"ok","&lt;&gt;"))</f>
        <v>N/A</v>
      </c>
      <c r="BN44" s="328"/>
      <c r="BO44" s="328" t="str">
        <f>IF(OR(ISBLANK(AD37),ISBLANK(AD39)),"N/A",IF(BO42&gt;=BO43,"ok","&lt;&gt;"))</f>
        <v>N/A</v>
      </c>
      <c r="BP44" s="328"/>
      <c r="BQ44" s="328" t="str">
        <f>IF(OR(ISBLANK(AF37),ISBLANK(AF39)),"N/A",IF(BQ42&gt;=BQ43,"ok","&lt;&gt;"))</f>
        <v>N/A</v>
      </c>
      <c r="BR44" s="328"/>
      <c r="BS44" s="328" t="str">
        <f>IF(OR(ISBLANK(AH37),ISBLANK(AH39)),"N/A",IF(BS42&gt;=BS43,"ok","&lt;&gt;"))</f>
        <v>N/A</v>
      </c>
      <c r="BT44" s="328"/>
      <c r="BU44" s="328" t="str">
        <f>IF(OR(ISBLANK(AJ37),ISBLANK(AJ39)),"N/A",IF(BU42&gt;=BU43,"ok","&lt;&gt;"))</f>
        <v>N/A</v>
      </c>
      <c r="BV44" s="328"/>
    </row>
    <row r="45" spans="2:74" ht="22.5">
      <c r="B45" s="425">
        <v>318</v>
      </c>
      <c r="C45" s="26">
        <v>30</v>
      </c>
      <c r="D45" s="58" t="s">
        <v>121</v>
      </c>
      <c r="E45" s="26" t="s">
        <v>119</v>
      </c>
      <c r="F45" s="139"/>
      <c r="G45" s="180"/>
      <c r="H45" s="155"/>
      <c r="I45" s="180"/>
      <c r="J45" s="155"/>
      <c r="K45" s="180"/>
      <c r="L45" s="155"/>
      <c r="M45" s="180"/>
      <c r="N45" s="155"/>
      <c r="O45" s="180"/>
      <c r="P45" s="139"/>
      <c r="Q45" s="180"/>
      <c r="R45" s="139"/>
      <c r="S45" s="180"/>
      <c r="T45" s="139"/>
      <c r="U45" s="180"/>
      <c r="V45" s="139"/>
      <c r="W45" s="180"/>
      <c r="X45" s="139"/>
      <c r="Y45" s="180"/>
      <c r="Z45" s="139"/>
      <c r="AA45" s="180"/>
      <c r="AB45" s="155"/>
      <c r="AC45" s="180"/>
      <c r="AD45" s="139"/>
      <c r="AE45" s="180"/>
      <c r="AF45" s="139"/>
      <c r="AG45" s="179"/>
      <c r="AH45" s="139"/>
      <c r="AI45" s="180"/>
      <c r="AJ45" s="139"/>
      <c r="AK45" s="179"/>
      <c r="AN45" s="60"/>
      <c r="AO45" s="79" t="s">
        <v>659</v>
      </c>
      <c r="AP45" s="60"/>
      <c r="AQ45" s="142"/>
      <c r="AR45" s="192"/>
      <c r="AS45" s="142"/>
      <c r="AT45" s="192"/>
      <c r="AU45" s="142"/>
      <c r="AV45" s="192"/>
      <c r="AW45" s="142"/>
      <c r="AX45" s="192"/>
      <c r="AY45" s="142"/>
      <c r="AZ45" s="192"/>
      <c r="BA45" s="142"/>
      <c r="BB45" s="192"/>
      <c r="BC45" s="142"/>
      <c r="BD45" s="192"/>
      <c r="BE45" s="142"/>
      <c r="BF45" s="192"/>
      <c r="BG45" s="142"/>
      <c r="BH45" s="192"/>
      <c r="BI45" s="142"/>
      <c r="BJ45" s="192"/>
      <c r="BK45" s="142"/>
      <c r="BL45" s="192"/>
      <c r="BM45" s="142"/>
      <c r="BN45" s="192"/>
      <c r="BO45" s="142"/>
      <c r="BP45" s="192"/>
      <c r="BQ45" s="142"/>
      <c r="BR45" s="192"/>
      <c r="BS45" s="142"/>
      <c r="BT45" s="192"/>
      <c r="BU45" s="142"/>
      <c r="BV45" s="192"/>
    </row>
    <row r="46" spans="2:74" ht="17.25" customHeight="1">
      <c r="B46" s="425">
        <v>5023</v>
      </c>
      <c r="C46" s="60"/>
      <c r="D46" s="79" t="s">
        <v>726</v>
      </c>
      <c r="E46" s="60"/>
      <c r="F46" s="142"/>
      <c r="G46" s="192"/>
      <c r="H46" s="147"/>
      <c r="I46" s="192"/>
      <c r="J46" s="147"/>
      <c r="K46" s="192"/>
      <c r="L46" s="147"/>
      <c r="M46" s="192"/>
      <c r="N46" s="147"/>
      <c r="O46" s="192"/>
      <c r="P46" s="142"/>
      <c r="Q46" s="192"/>
      <c r="R46" s="142"/>
      <c r="S46" s="192"/>
      <c r="T46" s="142"/>
      <c r="U46" s="192"/>
      <c r="V46" s="142"/>
      <c r="W46" s="192"/>
      <c r="X46" s="142"/>
      <c r="Y46" s="192"/>
      <c r="Z46" s="142"/>
      <c r="AA46" s="192"/>
      <c r="AB46" s="147"/>
      <c r="AC46" s="192"/>
      <c r="AD46" s="142"/>
      <c r="AE46" s="192"/>
      <c r="AF46" s="142"/>
      <c r="AG46" s="192"/>
      <c r="AH46" s="142"/>
      <c r="AI46" s="192"/>
      <c r="AJ46" s="142"/>
      <c r="AK46" s="192"/>
      <c r="AN46" s="60">
        <v>27</v>
      </c>
      <c r="AO46" s="410" t="s">
        <v>162</v>
      </c>
      <c r="AP46" s="60" t="s">
        <v>170</v>
      </c>
      <c r="AQ46" s="328">
        <f>F42</f>
        <v>0</v>
      </c>
      <c r="AR46" s="328"/>
      <c r="AS46" s="328">
        <f>H42</f>
        <v>0</v>
      </c>
      <c r="AT46" s="328"/>
      <c r="AU46" s="328">
        <f>J42</f>
        <v>0</v>
      </c>
      <c r="AV46" s="328"/>
      <c r="AW46" s="328">
        <f>L42</f>
        <v>0</v>
      </c>
      <c r="AX46" s="328"/>
      <c r="AY46" s="328">
        <f>N42</f>
        <v>0</v>
      </c>
      <c r="AZ46" s="328"/>
      <c r="BA46" s="328">
        <f>P42</f>
        <v>0</v>
      </c>
      <c r="BB46" s="328"/>
      <c r="BC46" s="328">
        <f>R42</f>
        <v>0</v>
      </c>
      <c r="BD46" s="328"/>
      <c r="BE46" s="328">
        <f>T42</f>
        <v>0</v>
      </c>
      <c r="BF46" s="328"/>
      <c r="BG46" s="328">
        <f>V42</f>
        <v>0</v>
      </c>
      <c r="BH46" s="328"/>
      <c r="BI46" s="328">
        <f>X42</f>
        <v>0</v>
      </c>
      <c r="BJ46" s="328"/>
      <c r="BK46" s="328">
        <f>Z42</f>
        <v>0</v>
      </c>
      <c r="BL46" s="328"/>
      <c r="BM46" s="328">
        <f>AB42</f>
        <v>0</v>
      </c>
      <c r="BN46" s="328"/>
      <c r="BO46" s="328">
        <f>AD42</f>
        <v>0</v>
      </c>
      <c r="BP46" s="328"/>
      <c r="BQ46" s="328">
        <f>AF42</f>
        <v>0</v>
      </c>
      <c r="BR46" s="328"/>
      <c r="BS46" s="328">
        <f>AH42</f>
        <v>0</v>
      </c>
      <c r="BT46" s="328"/>
      <c r="BU46" s="328">
        <f>AJ42</f>
        <v>0</v>
      </c>
      <c r="BV46" s="328"/>
    </row>
    <row r="47" spans="2:74" ht="15" customHeight="1">
      <c r="B47" s="425">
        <v>319</v>
      </c>
      <c r="C47" s="26">
        <v>31</v>
      </c>
      <c r="D47" s="58" t="s">
        <v>115</v>
      </c>
      <c r="E47" s="26" t="s">
        <v>116</v>
      </c>
      <c r="F47" s="139"/>
      <c r="G47" s="180"/>
      <c r="H47" s="155"/>
      <c r="I47" s="180"/>
      <c r="J47" s="155"/>
      <c r="K47" s="180"/>
      <c r="L47" s="155"/>
      <c r="M47" s="180"/>
      <c r="N47" s="155"/>
      <c r="O47" s="180"/>
      <c r="P47" s="139"/>
      <c r="Q47" s="180"/>
      <c r="R47" s="139"/>
      <c r="S47" s="180"/>
      <c r="T47" s="139"/>
      <c r="U47" s="180"/>
      <c r="V47" s="139"/>
      <c r="W47" s="180"/>
      <c r="X47" s="139"/>
      <c r="Y47" s="180"/>
      <c r="Z47" s="139"/>
      <c r="AA47" s="180"/>
      <c r="AB47" s="155"/>
      <c r="AC47" s="180"/>
      <c r="AD47" s="139"/>
      <c r="AE47" s="180"/>
      <c r="AF47" s="139"/>
      <c r="AG47" s="179"/>
      <c r="AH47" s="139"/>
      <c r="AI47" s="180"/>
      <c r="AJ47" s="139"/>
      <c r="AK47" s="179"/>
      <c r="AN47" s="60">
        <v>29</v>
      </c>
      <c r="AO47" s="410" t="s">
        <v>159</v>
      </c>
      <c r="AP47" s="60" t="s">
        <v>170</v>
      </c>
      <c r="AQ47" s="328">
        <f>F44</f>
        <v>0</v>
      </c>
      <c r="AR47" s="328"/>
      <c r="AS47" s="328">
        <f>H44</f>
        <v>0</v>
      </c>
      <c r="AT47" s="328"/>
      <c r="AU47" s="328">
        <f>J44</f>
        <v>0</v>
      </c>
      <c r="AV47" s="328"/>
      <c r="AW47" s="328">
        <f>L44</f>
        <v>0</v>
      </c>
      <c r="AX47" s="328"/>
      <c r="AY47" s="328">
        <f>N44</f>
        <v>0</v>
      </c>
      <c r="AZ47" s="328"/>
      <c r="BA47" s="328">
        <f>P44</f>
        <v>0</v>
      </c>
      <c r="BB47" s="328"/>
      <c r="BC47" s="328">
        <f>R44</f>
        <v>0</v>
      </c>
      <c r="BD47" s="328"/>
      <c r="BE47" s="328">
        <f>T44</f>
        <v>0</v>
      </c>
      <c r="BF47" s="328"/>
      <c r="BG47" s="328">
        <f>V44</f>
        <v>0</v>
      </c>
      <c r="BH47" s="328"/>
      <c r="BI47" s="328">
        <f>X44</f>
        <v>0</v>
      </c>
      <c r="BJ47" s="328"/>
      <c r="BK47" s="328">
        <f>Z44</f>
        <v>0</v>
      </c>
      <c r="BL47" s="328"/>
      <c r="BM47" s="328">
        <f>AB44</f>
        <v>0</v>
      </c>
      <c r="BN47" s="328"/>
      <c r="BO47" s="328">
        <f>AD44</f>
        <v>0</v>
      </c>
      <c r="BP47" s="328"/>
      <c r="BQ47" s="328">
        <f>AF44</f>
        <v>0</v>
      </c>
      <c r="BR47" s="328"/>
      <c r="BS47" s="328">
        <f>AH44</f>
        <v>0</v>
      </c>
      <c r="BT47" s="328"/>
      <c r="BU47" s="328">
        <f>AJ44</f>
        <v>0</v>
      </c>
      <c r="BV47" s="328"/>
    </row>
    <row r="48" spans="1:74" ht="15" customHeight="1">
      <c r="A48" s="397"/>
      <c r="B48" s="425">
        <v>320</v>
      </c>
      <c r="C48" s="26">
        <v>32</v>
      </c>
      <c r="D48" s="58" t="s">
        <v>3</v>
      </c>
      <c r="E48" s="26" t="s">
        <v>117</v>
      </c>
      <c r="F48" s="139"/>
      <c r="G48" s="180"/>
      <c r="H48" s="155"/>
      <c r="I48" s="180"/>
      <c r="J48" s="155"/>
      <c r="K48" s="180"/>
      <c r="L48" s="155"/>
      <c r="M48" s="180"/>
      <c r="N48" s="155"/>
      <c r="O48" s="180"/>
      <c r="P48" s="139"/>
      <c r="Q48" s="180"/>
      <c r="R48" s="139"/>
      <c r="S48" s="180"/>
      <c r="T48" s="139"/>
      <c r="U48" s="180"/>
      <c r="V48" s="139"/>
      <c r="W48" s="180"/>
      <c r="X48" s="139"/>
      <c r="Y48" s="180"/>
      <c r="Z48" s="139"/>
      <c r="AA48" s="180"/>
      <c r="AB48" s="155"/>
      <c r="AC48" s="180"/>
      <c r="AD48" s="139"/>
      <c r="AE48" s="180"/>
      <c r="AF48" s="139"/>
      <c r="AG48" s="179"/>
      <c r="AH48" s="139"/>
      <c r="AI48" s="180"/>
      <c r="AJ48" s="139"/>
      <c r="AK48" s="179"/>
      <c r="AN48" s="468" t="s">
        <v>677</v>
      </c>
      <c r="AO48" s="467" t="s">
        <v>144</v>
      </c>
      <c r="AP48" s="60"/>
      <c r="AQ48" s="328" t="str">
        <f>IF(OR(ISBLANK(F42),ISBLANK(F44)),"N/A",IF(AQ46*1.2&gt;=AQ47,"ok","&lt;&gt;"))</f>
        <v>N/A</v>
      </c>
      <c r="AR48" s="328"/>
      <c r="AS48" s="328" t="str">
        <f>IF(OR(ISBLANK(H42),ISBLANK(H44)),"N/A",IF(AS46*1.2&gt;=AS47,"ok","&lt;&gt;"))</f>
        <v>N/A</v>
      </c>
      <c r="AT48" s="328"/>
      <c r="AU48" s="328" t="str">
        <f>IF(OR(ISBLANK(J42),ISBLANK(J44)),"N/A",IF(AU46*1.2&gt;=AU47,"ok","&lt;&gt;"))</f>
        <v>N/A</v>
      </c>
      <c r="AV48" s="328"/>
      <c r="AW48" s="328" t="str">
        <f>IF(OR(ISBLANK(L42),ISBLANK(L44)),"N/A",IF(AW46*1.2&gt;=AW47,"ok","&lt;&gt;"))</f>
        <v>N/A</v>
      </c>
      <c r="AX48" s="328"/>
      <c r="AY48" s="328" t="str">
        <f>IF(OR(ISBLANK(N42),ISBLANK(N44)),"N/A",IF(AY46*1.2&gt;=AY47,"ok","&lt;&gt;"))</f>
        <v>N/A</v>
      </c>
      <c r="AZ48" s="328"/>
      <c r="BA48" s="328" t="str">
        <f>IF(OR(ISBLANK(P42),ISBLANK(P44)),"N/A",IF(BA46*1.2&gt;=BA47,"ok","&lt;&gt;"))</f>
        <v>N/A</v>
      </c>
      <c r="BB48" s="328"/>
      <c r="BC48" s="328" t="str">
        <f>IF(OR(ISBLANK(R42),ISBLANK(R44)),"N/A",IF(BC46*1.2&gt;=BC47,"ok","&lt;&gt;"))</f>
        <v>N/A</v>
      </c>
      <c r="BD48" s="328"/>
      <c r="BE48" s="328" t="str">
        <f>IF(OR(ISBLANK(T42),ISBLANK(T44)),"N/A",IF(BE46*1.2&gt;=BE47,"ok","&lt;&gt;"))</f>
        <v>N/A</v>
      </c>
      <c r="BF48" s="328"/>
      <c r="BG48" s="328" t="str">
        <f>IF(OR(ISBLANK(V42),ISBLANK(V44)),"N/A",IF(BG46*1.2&gt;=BG47,"ok","&lt;&gt;"))</f>
        <v>N/A</v>
      </c>
      <c r="BH48" s="328"/>
      <c r="BI48" s="328" t="str">
        <f>IF(OR(ISBLANK(X42),ISBLANK(X44)),"N/A",IF(BI46*1.2&gt;=BI47,"ok","&lt;&gt;"))</f>
        <v>N/A</v>
      </c>
      <c r="BJ48" s="328"/>
      <c r="BK48" s="328" t="str">
        <f>IF(OR(ISBLANK(Z42),ISBLANK(Z44)),"N/A",IF(BK46*1.2&gt;=BK47,"ok","&lt;&gt;"))</f>
        <v>N/A</v>
      </c>
      <c r="BL48" s="328"/>
      <c r="BM48" s="328" t="str">
        <f>IF(OR(ISBLANK(AB42),ISBLANK(AB44)),"N/A",IF(BM46*1.2&gt;=BM47,"ok","&lt;&gt;"))</f>
        <v>N/A</v>
      </c>
      <c r="BN48" s="328"/>
      <c r="BO48" s="328" t="str">
        <f>IF(OR(ISBLANK(AD42),ISBLANK(AD44)),"N/A",IF(BO46*1.2&gt;=BO47,"ok","&lt;&gt;"))</f>
        <v>N/A</v>
      </c>
      <c r="BP48" s="328"/>
      <c r="BQ48" s="328" t="str">
        <f>IF(OR(ISBLANK(AF42),ISBLANK(AF44)),"N/A",IF(BQ46*1.2&gt;=BQ47,"ok","&lt;&gt;"))</f>
        <v>N/A</v>
      </c>
      <c r="BR48" s="328"/>
      <c r="BS48" s="328" t="str">
        <f>IF(OR(ISBLANK(AH42),ISBLANK(AH44)),"N/A",IF(BS46*1.2&gt;=BS47,"ok","&lt;&gt;"))</f>
        <v>N/A</v>
      </c>
      <c r="BT48" s="328"/>
      <c r="BU48" s="328" t="str">
        <f>IF(OR(ISBLANK(AJ42),ISBLANK(AJ44)),"N/A",IF(BU46*1.2&gt;=BU47,"ok","&lt;&gt;"))</f>
        <v>N/A</v>
      </c>
      <c r="BV48" s="328"/>
    </row>
    <row r="49" spans="2:74" ht="22.5">
      <c r="B49" s="425">
        <v>321</v>
      </c>
      <c r="C49" s="26">
        <v>33</v>
      </c>
      <c r="D49" s="58" t="s">
        <v>118</v>
      </c>
      <c r="E49" s="26" t="s">
        <v>119</v>
      </c>
      <c r="F49" s="139"/>
      <c r="G49" s="180"/>
      <c r="H49" s="155"/>
      <c r="I49" s="180"/>
      <c r="J49" s="155"/>
      <c r="K49" s="180"/>
      <c r="L49" s="155"/>
      <c r="M49" s="180"/>
      <c r="N49" s="155"/>
      <c r="O49" s="180"/>
      <c r="P49" s="139"/>
      <c r="Q49" s="180"/>
      <c r="R49" s="139"/>
      <c r="S49" s="180"/>
      <c r="T49" s="139"/>
      <c r="U49" s="180"/>
      <c r="V49" s="139"/>
      <c r="W49" s="180"/>
      <c r="X49" s="139"/>
      <c r="Y49" s="180"/>
      <c r="Z49" s="139"/>
      <c r="AA49" s="180"/>
      <c r="AB49" s="155"/>
      <c r="AC49" s="180"/>
      <c r="AD49" s="139"/>
      <c r="AE49" s="180"/>
      <c r="AF49" s="139"/>
      <c r="AG49" s="179"/>
      <c r="AH49" s="139"/>
      <c r="AI49" s="180"/>
      <c r="AJ49" s="139"/>
      <c r="AK49" s="179"/>
      <c r="AN49" s="60">
        <v>28</v>
      </c>
      <c r="AO49" s="410" t="s">
        <v>163</v>
      </c>
      <c r="AP49" s="60" t="s">
        <v>161</v>
      </c>
      <c r="AQ49" s="328">
        <f>F43</f>
        <v>0</v>
      </c>
      <c r="AR49" s="328"/>
      <c r="AS49" s="328">
        <f>H43</f>
        <v>0</v>
      </c>
      <c r="AT49" s="328"/>
      <c r="AU49" s="328">
        <f>J43</f>
        <v>0</v>
      </c>
      <c r="AV49" s="328"/>
      <c r="AW49" s="328">
        <f>L43</f>
        <v>0</v>
      </c>
      <c r="AX49" s="328"/>
      <c r="AY49" s="328">
        <f>N43</f>
        <v>0</v>
      </c>
      <c r="AZ49" s="328"/>
      <c r="BA49" s="328">
        <f>P43</f>
        <v>0</v>
      </c>
      <c r="BB49" s="328"/>
      <c r="BC49" s="328">
        <f>R43</f>
        <v>0</v>
      </c>
      <c r="BD49" s="328"/>
      <c r="BE49" s="328">
        <f>T43</f>
        <v>0</v>
      </c>
      <c r="BF49" s="328"/>
      <c r="BG49" s="328">
        <f>V43</f>
        <v>0</v>
      </c>
      <c r="BH49" s="328"/>
      <c r="BI49" s="328">
        <f>X43</f>
        <v>0</v>
      </c>
      <c r="BJ49" s="328"/>
      <c r="BK49" s="328">
        <f>Z43</f>
        <v>0</v>
      </c>
      <c r="BL49" s="328"/>
      <c r="BM49" s="328">
        <f>AB43</f>
        <v>0</v>
      </c>
      <c r="BN49" s="328"/>
      <c r="BO49" s="328">
        <f>AD43</f>
        <v>0</v>
      </c>
      <c r="BP49" s="328"/>
      <c r="BQ49" s="328">
        <f>AF43</f>
        <v>0</v>
      </c>
      <c r="BR49" s="328"/>
      <c r="BS49" s="328">
        <f>AH43</f>
        <v>0</v>
      </c>
      <c r="BT49" s="328"/>
      <c r="BU49" s="328">
        <f>AJ43</f>
        <v>0</v>
      </c>
      <c r="BV49" s="328"/>
    </row>
    <row r="50" spans="2:74" ht="15" customHeight="1">
      <c r="B50" s="425">
        <v>322</v>
      </c>
      <c r="C50" s="26">
        <v>34</v>
      </c>
      <c r="D50" s="58" t="s">
        <v>120</v>
      </c>
      <c r="E50" s="26" t="s">
        <v>117</v>
      </c>
      <c r="F50" s="139"/>
      <c r="G50" s="180"/>
      <c r="H50" s="155"/>
      <c r="I50" s="180"/>
      <c r="J50" s="155"/>
      <c r="K50" s="180"/>
      <c r="L50" s="155"/>
      <c r="M50" s="180"/>
      <c r="N50" s="155"/>
      <c r="O50" s="180"/>
      <c r="P50" s="139"/>
      <c r="Q50" s="180"/>
      <c r="R50" s="139"/>
      <c r="S50" s="180"/>
      <c r="T50" s="139"/>
      <c r="U50" s="180"/>
      <c r="V50" s="139"/>
      <c r="W50" s="180"/>
      <c r="X50" s="139"/>
      <c r="Y50" s="180"/>
      <c r="Z50" s="139"/>
      <c r="AA50" s="180"/>
      <c r="AB50" s="155"/>
      <c r="AC50" s="180"/>
      <c r="AD50" s="139"/>
      <c r="AE50" s="180"/>
      <c r="AF50" s="139"/>
      <c r="AG50" s="179"/>
      <c r="AH50" s="139"/>
      <c r="AI50" s="180"/>
      <c r="AJ50" s="139"/>
      <c r="AK50" s="179"/>
      <c r="AN50" s="60">
        <v>30</v>
      </c>
      <c r="AO50" s="410" t="s">
        <v>160</v>
      </c>
      <c r="AP50" s="60" t="s">
        <v>161</v>
      </c>
      <c r="AQ50" s="328">
        <f>F45</f>
        <v>0</v>
      </c>
      <c r="AR50" s="328"/>
      <c r="AS50" s="328">
        <f>H45</f>
        <v>0</v>
      </c>
      <c r="AT50" s="328"/>
      <c r="AU50" s="328">
        <f>J45</f>
        <v>0</v>
      </c>
      <c r="AV50" s="328"/>
      <c r="AW50" s="328">
        <f>L45</f>
        <v>0</v>
      </c>
      <c r="AX50" s="328"/>
      <c r="AY50" s="328">
        <f>N45</f>
        <v>0</v>
      </c>
      <c r="AZ50" s="328"/>
      <c r="BA50" s="328">
        <f>P45</f>
        <v>0</v>
      </c>
      <c r="BB50" s="328"/>
      <c r="BC50" s="328">
        <f>R45</f>
        <v>0</v>
      </c>
      <c r="BD50" s="328"/>
      <c r="BE50" s="328">
        <f>T45</f>
        <v>0</v>
      </c>
      <c r="BF50" s="328"/>
      <c r="BG50" s="328">
        <f>V45</f>
        <v>0</v>
      </c>
      <c r="BH50" s="328"/>
      <c r="BI50" s="328">
        <f>X45</f>
        <v>0</v>
      </c>
      <c r="BJ50" s="328"/>
      <c r="BK50" s="328">
        <f>Z45</f>
        <v>0</v>
      </c>
      <c r="BL50" s="328"/>
      <c r="BM50" s="328">
        <f>AB45</f>
        <v>0</v>
      </c>
      <c r="BN50" s="328"/>
      <c r="BO50" s="328">
        <f>AD45</f>
        <v>0</v>
      </c>
      <c r="BP50" s="328"/>
      <c r="BQ50" s="328">
        <f>AF45</f>
        <v>0</v>
      </c>
      <c r="BR50" s="328"/>
      <c r="BS50" s="328">
        <f>AH45</f>
        <v>0</v>
      </c>
      <c r="BT50" s="328"/>
      <c r="BU50" s="328">
        <f>AJ45</f>
        <v>0</v>
      </c>
      <c r="BV50" s="328"/>
    </row>
    <row r="51" spans="2:74" ht="22.5">
      <c r="B51" s="425">
        <v>323</v>
      </c>
      <c r="C51" s="26">
        <v>35</v>
      </c>
      <c r="D51" s="58" t="s">
        <v>121</v>
      </c>
      <c r="E51" s="26" t="s">
        <v>119</v>
      </c>
      <c r="F51" s="139"/>
      <c r="G51" s="180"/>
      <c r="H51" s="155"/>
      <c r="I51" s="180"/>
      <c r="J51" s="155"/>
      <c r="K51" s="180"/>
      <c r="L51" s="155"/>
      <c r="M51" s="180"/>
      <c r="N51" s="155"/>
      <c r="O51" s="180"/>
      <c r="P51" s="139"/>
      <c r="Q51" s="180"/>
      <c r="R51" s="139"/>
      <c r="S51" s="180"/>
      <c r="T51" s="139"/>
      <c r="U51" s="180"/>
      <c r="V51" s="139"/>
      <c r="W51" s="180"/>
      <c r="X51" s="139"/>
      <c r="Y51" s="180"/>
      <c r="Z51" s="139"/>
      <c r="AA51" s="180"/>
      <c r="AB51" s="155"/>
      <c r="AC51" s="180"/>
      <c r="AD51" s="139"/>
      <c r="AE51" s="180"/>
      <c r="AF51" s="139"/>
      <c r="AG51" s="179"/>
      <c r="AH51" s="139"/>
      <c r="AI51" s="180"/>
      <c r="AJ51" s="139"/>
      <c r="AK51" s="179"/>
      <c r="AN51" s="468" t="s">
        <v>677</v>
      </c>
      <c r="AO51" s="467" t="s">
        <v>648</v>
      </c>
      <c r="AP51" s="60"/>
      <c r="AQ51" s="328" t="str">
        <f>IF(OR(ISBLANK(F43),ISBLANK(F45)),"N/A",IF(AQ49&gt;=AQ50,"ok","&lt;&gt;"))</f>
        <v>N/A</v>
      </c>
      <c r="AR51" s="328"/>
      <c r="AS51" s="328" t="str">
        <f>IF(OR(ISBLANK(H43),ISBLANK(H45)),"N/A",IF(AS49&gt;=AS50,"ok","&lt;&gt;"))</f>
        <v>N/A</v>
      </c>
      <c r="AT51" s="328"/>
      <c r="AU51" s="328" t="str">
        <f>IF(OR(ISBLANK(J43),ISBLANK(J45)),"N/A",IF(AU49&gt;=AU50,"ok","&lt;&gt;"))</f>
        <v>N/A</v>
      </c>
      <c r="AV51" s="328"/>
      <c r="AW51" s="328" t="str">
        <f>IF(OR(ISBLANK(L43),ISBLANK(L45)),"N/A",IF(AW49&gt;=AW50,"ok","&lt;&gt;"))</f>
        <v>N/A</v>
      </c>
      <c r="AX51" s="328"/>
      <c r="AY51" s="328" t="str">
        <f>IF(OR(ISBLANK(N43),ISBLANK(N45)),"N/A",IF(AY49&gt;=AY50,"ok","&lt;&gt;"))</f>
        <v>N/A</v>
      </c>
      <c r="AZ51" s="328"/>
      <c r="BA51" s="328" t="str">
        <f>IF(OR(ISBLANK(P43),ISBLANK(P45)),"N/A",IF(BA49&gt;=BA50,"ok","&lt;&gt;"))</f>
        <v>N/A</v>
      </c>
      <c r="BB51" s="328"/>
      <c r="BC51" s="328" t="str">
        <f>IF(OR(ISBLANK(R43),ISBLANK(R45)),"N/A",IF(BC49&gt;=BC50,"ok","&lt;&gt;"))</f>
        <v>N/A</v>
      </c>
      <c r="BD51" s="328"/>
      <c r="BE51" s="328" t="str">
        <f>IF(OR(ISBLANK(T43),ISBLANK(T45)),"N/A",IF(BE49&gt;=BE50,"ok","&lt;&gt;"))</f>
        <v>N/A</v>
      </c>
      <c r="BF51" s="328"/>
      <c r="BG51" s="328" t="str">
        <f>IF(OR(ISBLANK(V43),ISBLANK(V45)),"N/A",IF(BG49&gt;=BG50,"ok","&lt;&gt;"))</f>
        <v>N/A</v>
      </c>
      <c r="BH51" s="328"/>
      <c r="BI51" s="328" t="str">
        <f>IF(OR(ISBLANK(X43),ISBLANK(X45)),"N/A",IF(BI49&gt;=BI50,"ok","&lt;&gt;"))</f>
        <v>N/A</v>
      </c>
      <c r="BJ51" s="328"/>
      <c r="BK51" s="328" t="str">
        <f>IF(OR(ISBLANK(Z43),ISBLANK(Z45)),"N/A",IF(BK49&gt;=BK50,"ok","&lt;&gt;"))</f>
        <v>N/A</v>
      </c>
      <c r="BL51" s="328"/>
      <c r="BM51" s="328" t="str">
        <f>IF(OR(ISBLANK(AB43),ISBLANK(AB45)),"N/A",IF(BM49&gt;=BM50,"ok","&lt;&gt;"))</f>
        <v>N/A</v>
      </c>
      <c r="BN51" s="328"/>
      <c r="BO51" s="328" t="str">
        <f>IF(OR(ISBLANK(AD43),ISBLANK(AD45)),"N/A",IF(BO49&gt;=BO50,"ok","&lt;&gt;"))</f>
        <v>N/A</v>
      </c>
      <c r="BP51" s="328"/>
      <c r="BQ51" s="328" t="str">
        <f>IF(OR(ISBLANK(AF43),ISBLANK(AF45)),"N/A",IF(BQ49&gt;=BQ50,"ok","&lt;&gt;"))</f>
        <v>N/A</v>
      </c>
      <c r="BR51" s="328"/>
      <c r="BS51" s="328" t="str">
        <f>IF(OR(ISBLANK(AH43),ISBLANK(AH45)),"N/A",IF(BS49&gt;=BS50,"ok","&lt;&gt;"))</f>
        <v>N/A</v>
      </c>
      <c r="BT51" s="328"/>
      <c r="BU51" s="328" t="str">
        <f>IF(OR(ISBLANK(AJ43),ISBLANK(AJ45)),"N/A",IF(BU49&gt;=BU50,"ok","&lt;&gt;"))</f>
        <v>N/A</v>
      </c>
      <c r="BV51" s="328"/>
    </row>
    <row r="52" spans="2:74" ht="15" customHeight="1">
      <c r="B52" s="425">
        <v>5014</v>
      </c>
      <c r="C52" s="745" t="s">
        <v>123</v>
      </c>
      <c r="D52" s="746"/>
      <c r="E52" s="747"/>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N52" s="60"/>
      <c r="AO52" s="79" t="s">
        <v>507</v>
      </c>
      <c r="AP52" s="60"/>
      <c r="AQ52" s="328"/>
      <c r="AR52" s="192"/>
      <c r="AS52" s="328"/>
      <c r="AT52" s="192"/>
      <c r="AU52" s="328"/>
      <c r="AV52" s="192"/>
      <c r="AW52" s="328"/>
      <c r="AX52" s="192"/>
      <c r="AY52" s="328"/>
      <c r="AZ52" s="192"/>
      <c r="BA52" s="328"/>
      <c r="BB52" s="192"/>
      <c r="BC52" s="328"/>
      <c r="BD52" s="192"/>
      <c r="BE52" s="328"/>
      <c r="BF52" s="192"/>
      <c r="BG52" s="328"/>
      <c r="BH52" s="192"/>
      <c r="BI52" s="328"/>
      <c r="BJ52" s="192"/>
      <c r="BK52" s="328"/>
      <c r="BL52" s="192"/>
      <c r="BM52" s="328"/>
      <c r="BN52" s="192"/>
      <c r="BO52" s="328"/>
      <c r="BP52" s="192"/>
      <c r="BQ52" s="328"/>
      <c r="BR52" s="192"/>
      <c r="BS52" s="328"/>
      <c r="BT52" s="192"/>
      <c r="BU52" s="328"/>
      <c r="BV52" s="192"/>
    </row>
    <row r="53" spans="1:74" ht="30.75" customHeight="1">
      <c r="A53" s="400"/>
      <c r="B53" s="426">
        <v>160</v>
      </c>
      <c r="C53" s="67">
        <v>36</v>
      </c>
      <c r="D53" s="66" t="s">
        <v>124</v>
      </c>
      <c r="E53" s="67" t="s">
        <v>171</v>
      </c>
      <c r="F53" s="141"/>
      <c r="G53" s="186"/>
      <c r="H53" s="156"/>
      <c r="I53" s="186"/>
      <c r="J53" s="156"/>
      <c r="K53" s="186"/>
      <c r="L53" s="156"/>
      <c r="M53" s="186"/>
      <c r="N53" s="156"/>
      <c r="O53" s="186"/>
      <c r="P53" s="141"/>
      <c r="Q53" s="186"/>
      <c r="R53" s="141"/>
      <c r="S53" s="186"/>
      <c r="T53" s="141"/>
      <c r="U53" s="186"/>
      <c r="V53" s="141"/>
      <c r="W53" s="186"/>
      <c r="X53" s="141"/>
      <c r="Y53" s="186"/>
      <c r="Z53" s="141"/>
      <c r="AA53" s="186"/>
      <c r="AB53" s="156"/>
      <c r="AC53" s="186"/>
      <c r="AD53" s="141"/>
      <c r="AE53" s="186"/>
      <c r="AF53" s="141"/>
      <c r="AG53" s="181"/>
      <c r="AH53" s="141"/>
      <c r="AI53" s="186"/>
      <c r="AJ53" s="141"/>
      <c r="AK53" s="181"/>
      <c r="AN53" s="60">
        <v>32</v>
      </c>
      <c r="AO53" s="410" t="s">
        <v>162</v>
      </c>
      <c r="AP53" s="60" t="s">
        <v>170</v>
      </c>
      <c r="AQ53" s="328">
        <f>F48</f>
        <v>0</v>
      </c>
      <c r="AR53" s="328">
        <f>G52</f>
        <v>0</v>
      </c>
      <c r="AS53" s="328">
        <f>H48</f>
        <v>0</v>
      </c>
      <c r="AT53" s="328">
        <f>I52</f>
        <v>0</v>
      </c>
      <c r="AU53" s="328">
        <f>J48</f>
        <v>0</v>
      </c>
      <c r="AV53" s="328">
        <f>K52</f>
        <v>0</v>
      </c>
      <c r="AW53" s="328">
        <f>L48</f>
        <v>0</v>
      </c>
      <c r="AX53" s="328">
        <f>M52</f>
        <v>0</v>
      </c>
      <c r="AY53" s="328">
        <f>N48</f>
        <v>0</v>
      </c>
      <c r="AZ53" s="328">
        <f>O52</f>
        <v>0</v>
      </c>
      <c r="BA53" s="328">
        <f>P48</f>
        <v>0</v>
      </c>
      <c r="BB53" s="328">
        <f>Q52</f>
        <v>0</v>
      </c>
      <c r="BC53" s="328">
        <f>R48</f>
        <v>0</v>
      </c>
      <c r="BD53" s="328">
        <f>S52</f>
        <v>0</v>
      </c>
      <c r="BE53" s="328">
        <f>T48</f>
        <v>0</v>
      </c>
      <c r="BF53" s="328">
        <f>U52</f>
        <v>0</v>
      </c>
      <c r="BG53" s="328">
        <f>V48</f>
        <v>0</v>
      </c>
      <c r="BH53" s="328">
        <f>W52</f>
        <v>0</v>
      </c>
      <c r="BI53" s="328">
        <f>X48</f>
        <v>0</v>
      </c>
      <c r="BJ53" s="328">
        <f>Y52</f>
        <v>0</v>
      </c>
      <c r="BK53" s="328">
        <f>Z48</f>
        <v>0</v>
      </c>
      <c r="BL53" s="328">
        <f>AA52</f>
        <v>0</v>
      </c>
      <c r="BM53" s="328">
        <f>AB48</f>
        <v>0</v>
      </c>
      <c r="BN53" s="328">
        <f>AC52</f>
        <v>0</v>
      </c>
      <c r="BO53" s="328">
        <f>AD48</f>
        <v>0</v>
      </c>
      <c r="BP53" s="328">
        <f>AE52</f>
        <v>0</v>
      </c>
      <c r="BQ53" s="328">
        <f>AF48</f>
        <v>0</v>
      </c>
      <c r="BR53" s="328">
        <f>AG52</f>
        <v>0</v>
      </c>
      <c r="BS53" s="328">
        <f>AH48</f>
        <v>0</v>
      </c>
      <c r="BT53" s="328">
        <f>AI52</f>
        <v>0</v>
      </c>
      <c r="BU53" s="328">
        <f>AJ48</f>
        <v>0</v>
      </c>
      <c r="BV53" s="328">
        <f>AK52</f>
        <v>0</v>
      </c>
    </row>
    <row r="54" spans="1:74" ht="4.5" customHeight="1">
      <c r="A54" s="400"/>
      <c r="C54" s="71"/>
      <c r="D54" s="38"/>
      <c r="E54" s="77"/>
      <c r="F54" s="38"/>
      <c r="G54" s="38"/>
      <c r="H54" s="38"/>
      <c r="I54" s="187"/>
      <c r="J54" s="157"/>
      <c r="K54" s="187"/>
      <c r="L54" s="157"/>
      <c r="M54" s="187"/>
      <c r="N54" s="157"/>
      <c r="O54" s="187"/>
      <c r="P54" s="157"/>
      <c r="Q54" s="187"/>
      <c r="R54" s="38"/>
      <c r="S54" s="187"/>
      <c r="T54" s="38"/>
      <c r="U54" s="187"/>
      <c r="V54" s="38"/>
      <c r="W54" s="187"/>
      <c r="X54" s="38"/>
      <c r="Y54" s="187"/>
      <c r="Z54" s="38"/>
      <c r="AA54" s="187"/>
      <c r="AB54" s="38"/>
      <c r="AC54" s="187"/>
      <c r="AD54" s="157"/>
      <c r="AE54" s="187"/>
      <c r="AF54" s="38"/>
      <c r="AG54" s="187"/>
      <c r="AH54" s="38"/>
      <c r="AI54" s="183"/>
      <c r="AN54" s="60">
        <v>34</v>
      </c>
      <c r="AO54" s="410" t="s">
        <v>159</v>
      </c>
      <c r="AP54" s="60" t="s">
        <v>170</v>
      </c>
      <c r="AQ54" s="328">
        <f>F50</f>
        <v>0</v>
      </c>
      <c r="AR54" s="328">
        <f>G54</f>
        <v>0</v>
      </c>
      <c r="AS54" s="328">
        <f>H50</f>
        <v>0</v>
      </c>
      <c r="AT54" s="328">
        <f>I54</f>
        <v>0</v>
      </c>
      <c r="AU54" s="328">
        <f>J50</f>
        <v>0</v>
      </c>
      <c r="AV54" s="328">
        <f>K54</f>
        <v>0</v>
      </c>
      <c r="AW54" s="328">
        <f>L50</f>
        <v>0</v>
      </c>
      <c r="AX54" s="328">
        <f>M54</f>
        <v>0</v>
      </c>
      <c r="AY54" s="328">
        <f>N50</f>
        <v>0</v>
      </c>
      <c r="AZ54" s="328">
        <f>O54</f>
        <v>0</v>
      </c>
      <c r="BA54" s="328">
        <f>P50</f>
        <v>0</v>
      </c>
      <c r="BB54" s="328">
        <f>Q54</f>
        <v>0</v>
      </c>
      <c r="BC54" s="328">
        <f>R50</f>
        <v>0</v>
      </c>
      <c r="BD54" s="328">
        <f>S54</f>
        <v>0</v>
      </c>
      <c r="BE54" s="328">
        <f>T50</f>
        <v>0</v>
      </c>
      <c r="BF54" s="328">
        <f>U54</f>
        <v>0</v>
      </c>
      <c r="BG54" s="328">
        <f>V50</f>
        <v>0</v>
      </c>
      <c r="BH54" s="328">
        <f>W54</f>
        <v>0</v>
      </c>
      <c r="BI54" s="328">
        <f>X50</f>
        <v>0</v>
      </c>
      <c r="BJ54" s="328">
        <f>Y54</f>
        <v>0</v>
      </c>
      <c r="BK54" s="328">
        <f>Z50</f>
        <v>0</v>
      </c>
      <c r="BL54" s="328">
        <f>AA54</f>
        <v>0</v>
      </c>
      <c r="BM54" s="328">
        <f>AB50</f>
        <v>0</v>
      </c>
      <c r="BN54" s="328">
        <f>AC54</f>
        <v>0</v>
      </c>
      <c r="BO54" s="328">
        <f>AD50</f>
        <v>0</v>
      </c>
      <c r="BP54" s="328">
        <f>AE54</f>
        <v>0</v>
      </c>
      <c r="BQ54" s="328">
        <f>AF50</f>
        <v>0</v>
      </c>
      <c r="BR54" s="328">
        <f>AG54</f>
        <v>0</v>
      </c>
      <c r="BS54" s="328">
        <f>AH50</f>
        <v>0</v>
      </c>
      <c r="BT54" s="328">
        <f>AI54</f>
        <v>0</v>
      </c>
      <c r="BU54" s="328">
        <f>AJ50</f>
        <v>0</v>
      </c>
      <c r="BV54" s="328">
        <f>AK54</f>
        <v>0</v>
      </c>
    </row>
    <row r="55" spans="1:74" ht="18" customHeight="1">
      <c r="A55" s="400"/>
      <c r="C55" s="3" t="s">
        <v>87</v>
      </c>
      <c r="D55" s="4"/>
      <c r="E55" s="20"/>
      <c r="F55" s="3"/>
      <c r="G55" s="3"/>
      <c r="AN55" s="468" t="s">
        <v>677</v>
      </c>
      <c r="AO55" s="467" t="s">
        <v>145</v>
      </c>
      <c r="AP55" s="60"/>
      <c r="AQ55" s="328" t="str">
        <f>IF(OR(ISBLANK(F48),ISBLANK(F50)),"N/A",IF(AQ53*1.2&gt;=AQ54,"ok","&lt;&gt;"))</f>
        <v>N/A</v>
      </c>
      <c r="AR55" s="328"/>
      <c r="AS55" s="328" t="str">
        <f>IF(OR(ISBLANK(H48),ISBLANK(H50)),"N/A",IF(AS53*1.2&gt;=AS54,"ok","&lt;&gt;"))</f>
        <v>N/A</v>
      </c>
      <c r="AT55" s="328"/>
      <c r="AU55" s="328" t="str">
        <f>IF(OR(ISBLANK(J48),ISBLANK(J50)),"N/A",IF(AU53*1.2&gt;=AU54,"ok","&lt;&gt;"))</f>
        <v>N/A</v>
      </c>
      <c r="AV55" s="328"/>
      <c r="AW55" s="328" t="str">
        <f>IF(OR(ISBLANK(L48),ISBLANK(L50)),"N/A",IF(AW53*1.2&gt;=AW54,"ok","&lt;&gt;"))</f>
        <v>N/A</v>
      </c>
      <c r="AX55" s="328"/>
      <c r="AY55" s="328" t="str">
        <f>IF(OR(ISBLANK(N48),ISBLANK(N50)),"N/A",IF(AY53*1.2&gt;=AY54,"ok","&lt;&gt;"))</f>
        <v>N/A</v>
      </c>
      <c r="AZ55" s="328"/>
      <c r="BA55" s="328" t="str">
        <f>IF(OR(ISBLANK(P48),ISBLANK(P50)),"N/A",IF(BA53*1.2&gt;=BA54,"ok","&lt;&gt;"))</f>
        <v>N/A</v>
      </c>
      <c r="BB55" s="328"/>
      <c r="BC55" s="328" t="str">
        <f>IF(OR(ISBLANK(R48),ISBLANK(R50)),"N/A",IF(BC53*1.2&gt;=BC54,"ok","&lt;&gt;"))</f>
        <v>N/A</v>
      </c>
      <c r="BD55" s="328"/>
      <c r="BE55" s="328" t="str">
        <f>IF(OR(ISBLANK(T48),ISBLANK(T50)),"N/A",IF(BE53*1.2&gt;=BE54,"ok","&lt;&gt;"))</f>
        <v>N/A</v>
      </c>
      <c r="BF55" s="328"/>
      <c r="BG55" s="328" t="str">
        <f>IF(OR(ISBLANK(V48),ISBLANK(V50)),"N/A",IF(BG53*1.2&gt;=BG54,"ok","&lt;&gt;"))</f>
        <v>N/A</v>
      </c>
      <c r="BH55" s="328"/>
      <c r="BI55" s="328" t="str">
        <f>IF(OR(ISBLANK(X48),ISBLANK(X50)),"N/A",IF(BI53*1.2&gt;=BI54,"ok","&lt;&gt;"))</f>
        <v>N/A</v>
      </c>
      <c r="BJ55" s="328"/>
      <c r="BK55" s="328" t="str">
        <f>IF(OR(ISBLANK(Z48),ISBLANK(Z50)),"N/A",IF(BK53*1.2&gt;=BK54,"ok","&lt;&gt;"))</f>
        <v>N/A</v>
      </c>
      <c r="BL55" s="328"/>
      <c r="BM55" s="328" t="str">
        <f>IF(OR(ISBLANK(AB48),ISBLANK(AB50)),"N/A",IF(BM53*1.2&gt;=BM54,"ok","&lt;&gt;"))</f>
        <v>N/A</v>
      </c>
      <c r="BN55" s="328"/>
      <c r="BO55" s="328" t="str">
        <f>IF(OR(ISBLANK(AD48),ISBLANK(AD50)),"N/A",IF(BO53*1.2&gt;=BO54,"ok","&lt;&gt;"))</f>
        <v>N/A</v>
      </c>
      <c r="BP55" s="328"/>
      <c r="BQ55" s="328" t="str">
        <f>IF(OR(ISBLANK(AF48),ISBLANK(AF50)),"N/A",IF(BQ53*1.2&gt;=BQ54,"ok","&lt;&gt;"))</f>
        <v>N/A</v>
      </c>
      <c r="BR55" s="328"/>
      <c r="BS55" s="328" t="str">
        <f>IF(OR(ISBLANK(AH48),ISBLANK(AH50)),"N/A",IF(BS53*1.2&gt;=BS54,"ok","&lt;&gt;"))</f>
        <v>N/A</v>
      </c>
      <c r="BT55" s="328"/>
      <c r="BU55" s="328" t="str">
        <f>IF(OR(ISBLANK(AJ48),ISBLANK(AJ50)),"N/A",IF(BU53*1.2&gt;=BU54,"ok","&lt;&gt;"))</f>
        <v>N/A</v>
      </c>
      <c r="BV55" s="328"/>
    </row>
    <row r="56" spans="3:74" ht="14.25" customHeight="1">
      <c r="C56" s="266" t="s">
        <v>667</v>
      </c>
      <c r="D56" s="669" t="s">
        <v>125</v>
      </c>
      <c r="E56" s="669"/>
      <c r="F56" s="669"/>
      <c r="G56" s="669"/>
      <c r="H56" s="669"/>
      <c r="I56" s="669"/>
      <c r="J56" s="669"/>
      <c r="K56" s="669"/>
      <c r="L56" s="669"/>
      <c r="M56" s="669"/>
      <c r="N56" s="669"/>
      <c r="O56" s="669"/>
      <c r="P56" s="669"/>
      <c r="Q56" s="669"/>
      <c r="R56" s="669"/>
      <c r="S56" s="669"/>
      <c r="T56" s="669"/>
      <c r="U56" s="669"/>
      <c r="V56" s="669"/>
      <c r="W56" s="669"/>
      <c r="X56" s="669"/>
      <c r="Y56" s="669"/>
      <c r="Z56" s="669"/>
      <c r="AA56" s="669"/>
      <c r="AB56" s="669"/>
      <c r="AC56" s="669"/>
      <c r="AD56" s="669"/>
      <c r="AE56" s="669"/>
      <c r="AF56" s="669"/>
      <c r="AG56" s="669"/>
      <c r="AH56" s="669"/>
      <c r="AI56" s="669"/>
      <c r="AJ56" s="669"/>
      <c r="AK56" s="669"/>
      <c r="AN56" s="60">
        <v>33</v>
      </c>
      <c r="AO56" s="410" t="s">
        <v>163</v>
      </c>
      <c r="AP56" s="60" t="s">
        <v>161</v>
      </c>
      <c r="AQ56" s="328">
        <f>F49</f>
        <v>0</v>
      </c>
      <c r="AR56" s="328"/>
      <c r="AS56" s="328">
        <f>H49</f>
        <v>0</v>
      </c>
      <c r="AT56" s="328"/>
      <c r="AU56" s="328">
        <f>J49</f>
        <v>0</v>
      </c>
      <c r="AV56" s="328"/>
      <c r="AW56" s="328">
        <f>L49</f>
        <v>0</v>
      </c>
      <c r="AX56" s="328"/>
      <c r="AY56" s="328">
        <f>N49</f>
        <v>0</v>
      </c>
      <c r="AZ56" s="328"/>
      <c r="BA56" s="328">
        <f>P49</f>
        <v>0</v>
      </c>
      <c r="BB56" s="328"/>
      <c r="BC56" s="328">
        <f>R49</f>
        <v>0</v>
      </c>
      <c r="BD56" s="328"/>
      <c r="BE56" s="328">
        <f>T49</f>
        <v>0</v>
      </c>
      <c r="BF56" s="328"/>
      <c r="BG56" s="328">
        <f>V49</f>
        <v>0</v>
      </c>
      <c r="BH56" s="328"/>
      <c r="BI56" s="328">
        <f>X49</f>
        <v>0</v>
      </c>
      <c r="BJ56" s="328"/>
      <c r="BK56" s="328">
        <f>Z49</f>
        <v>0</v>
      </c>
      <c r="BL56" s="328"/>
      <c r="BM56" s="328">
        <f>AB49</f>
        <v>0</v>
      </c>
      <c r="BN56" s="328"/>
      <c r="BO56" s="328">
        <f>AD49</f>
        <v>0</v>
      </c>
      <c r="BP56" s="328"/>
      <c r="BQ56" s="328">
        <f>AF49</f>
        <v>0</v>
      </c>
      <c r="BR56" s="328"/>
      <c r="BS56" s="328">
        <f>AH49</f>
        <v>0</v>
      </c>
      <c r="BT56" s="328"/>
      <c r="BU56" s="328">
        <f>AJ49</f>
        <v>0</v>
      </c>
      <c r="BV56" s="328"/>
    </row>
    <row r="57" spans="1:74" ht="24.75" customHeight="1">
      <c r="A57" s="397"/>
      <c r="B57" s="400"/>
      <c r="C57" s="266" t="s">
        <v>667</v>
      </c>
      <c r="D57" s="669" t="s">
        <v>47</v>
      </c>
      <c r="E57" s="669"/>
      <c r="F57" s="669"/>
      <c r="G57" s="669"/>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N57" s="60">
        <v>35</v>
      </c>
      <c r="AO57" s="410" t="s">
        <v>160</v>
      </c>
      <c r="AP57" s="60" t="s">
        <v>161</v>
      </c>
      <c r="AQ57" s="328">
        <f>F51</f>
        <v>0</v>
      </c>
      <c r="AR57" s="328"/>
      <c r="AS57" s="328">
        <f>H51</f>
        <v>0</v>
      </c>
      <c r="AT57" s="328"/>
      <c r="AU57" s="328">
        <f>J51</f>
        <v>0</v>
      </c>
      <c r="AV57" s="328"/>
      <c r="AW57" s="328">
        <f>L51</f>
        <v>0</v>
      </c>
      <c r="AX57" s="328"/>
      <c r="AY57" s="328">
        <f>N51</f>
        <v>0</v>
      </c>
      <c r="AZ57" s="328"/>
      <c r="BA57" s="328">
        <f>P51</f>
        <v>0</v>
      </c>
      <c r="BB57" s="328"/>
      <c r="BC57" s="328">
        <f>R51</f>
        <v>0</v>
      </c>
      <c r="BD57" s="328"/>
      <c r="BE57" s="328">
        <f>T51</f>
        <v>0</v>
      </c>
      <c r="BF57" s="328"/>
      <c r="BG57" s="328">
        <f>V51</f>
        <v>0</v>
      </c>
      <c r="BH57" s="328"/>
      <c r="BI57" s="328">
        <f>X51</f>
        <v>0</v>
      </c>
      <c r="BJ57" s="328"/>
      <c r="BK57" s="328">
        <f>Z51</f>
        <v>0</v>
      </c>
      <c r="BL57" s="328"/>
      <c r="BM57" s="328">
        <f>AB51</f>
        <v>0</v>
      </c>
      <c r="BN57" s="328"/>
      <c r="BO57" s="328">
        <f>AD51</f>
        <v>0</v>
      </c>
      <c r="BP57" s="328"/>
      <c r="BQ57" s="328">
        <f>AF51</f>
        <v>0</v>
      </c>
      <c r="BR57" s="328"/>
      <c r="BS57" s="328">
        <f>AH51</f>
        <v>0</v>
      </c>
      <c r="BT57" s="328"/>
      <c r="BU57" s="328">
        <f>AJ51</f>
        <v>0</v>
      </c>
      <c r="BV57" s="328"/>
    </row>
    <row r="58" spans="2:74" ht="24.75" customHeight="1">
      <c r="B58" s="400"/>
      <c r="C58" s="266" t="s">
        <v>667</v>
      </c>
      <c r="D58" s="669" t="s">
        <v>48</v>
      </c>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69"/>
      <c r="AL58" s="669"/>
      <c r="AN58" s="468" t="s">
        <v>677</v>
      </c>
      <c r="AO58" s="467" t="s">
        <v>649</v>
      </c>
      <c r="AP58" s="60"/>
      <c r="AQ58" s="328" t="str">
        <f>IF(OR(ISBLANK(F49),ISBLANK(F51)),"N/A",IF(AQ56&gt;=AQ57,"ok","&lt;&gt;"))</f>
        <v>N/A</v>
      </c>
      <c r="AR58" s="328"/>
      <c r="AS58" s="328" t="str">
        <f>IF(OR(ISBLANK(H49),ISBLANK(H51)),"N/A",IF(AS56&gt;=AS57,"ok","&lt;&gt;"))</f>
        <v>N/A</v>
      </c>
      <c r="AT58" s="328"/>
      <c r="AU58" s="328" t="str">
        <f>IF(OR(ISBLANK(J49),ISBLANK(J51)),"N/A",IF(AU56&gt;=AU57,"ok","&lt;&gt;"))</f>
        <v>N/A</v>
      </c>
      <c r="AV58" s="328"/>
      <c r="AW58" s="328" t="str">
        <f>IF(OR(ISBLANK(L49),ISBLANK(L51)),"N/A",IF(AW56&gt;=AW57,"ok","&lt;&gt;"))</f>
        <v>N/A</v>
      </c>
      <c r="AX58" s="328"/>
      <c r="AY58" s="328" t="str">
        <f>IF(OR(ISBLANK(N49),ISBLANK(N51)),"N/A",IF(AY56&gt;=AY57,"ok","&lt;&gt;"))</f>
        <v>N/A</v>
      </c>
      <c r="AZ58" s="328"/>
      <c r="BA58" s="328" t="str">
        <f>IF(OR(ISBLANK(P49),ISBLANK(P51)),"N/A",IF(BA56&gt;=BA57,"ok","&lt;&gt;"))</f>
        <v>N/A</v>
      </c>
      <c r="BB58" s="328"/>
      <c r="BC58" s="328" t="str">
        <f>IF(OR(ISBLANK(R49),ISBLANK(R51)),"N/A",IF(BC56&gt;=BC57,"ok","&lt;&gt;"))</f>
        <v>N/A</v>
      </c>
      <c r="BD58" s="328"/>
      <c r="BE58" s="328" t="str">
        <f>IF(OR(ISBLANK(T49),ISBLANK(T51)),"N/A",IF(BE56&gt;=BE57,"ok","&lt;&gt;"))</f>
        <v>N/A</v>
      </c>
      <c r="BF58" s="328"/>
      <c r="BG58" s="328" t="str">
        <f>IF(OR(ISBLANK(V49),ISBLANK(V51)),"N/A",IF(BG56&gt;=BG57,"ok","&lt;&gt;"))</f>
        <v>N/A</v>
      </c>
      <c r="BH58" s="328"/>
      <c r="BI58" s="328" t="str">
        <f>IF(OR(ISBLANK(X49),ISBLANK(X51)),"N/A",IF(BI56&gt;=BI57,"ok","&lt;&gt;"))</f>
        <v>N/A</v>
      </c>
      <c r="BJ58" s="328"/>
      <c r="BK58" s="328" t="str">
        <f>IF(OR(ISBLANK(Z49),ISBLANK(Z51)),"N/A",IF(BK56&gt;=BK57,"ok","&lt;&gt;"))</f>
        <v>N/A</v>
      </c>
      <c r="BL58" s="328"/>
      <c r="BM58" s="328" t="str">
        <f>IF(OR(ISBLANK(AB49),ISBLANK(AB51)),"N/A",IF(BM56&gt;=BM57,"ok","&lt;&gt;"))</f>
        <v>N/A</v>
      </c>
      <c r="BN58" s="328"/>
      <c r="BO58" s="328" t="str">
        <f>IF(OR(ISBLANK(AD49),ISBLANK(AD51)),"N/A",IF(BO56&gt;=BO57,"ok","&lt;&gt;"))</f>
        <v>N/A</v>
      </c>
      <c r="BP58" s="328"/>
      <c r="BQ58" s="328" t="str">
        <f>IF(OR(ISBLANK(AF49),ISBLANK(AF51)),"N/A",IF(BQ56&gt;=BQ57,"ok","&lt;&gt;"))</f>
        <v>N/A</v>
      </c>
      <c r="BR58" s="328"/>
      <c r="BS58" s="328" t="str">
        <f>IF(OR(ISBLANK(AH49),ISBLANK(AH51)),"N/A",IF(BS56&gt;=BS57,"ok","&lt;&gt;"))</f>
        <v>N/A</v>
      </c>
      <c r="BT58" s="328"/>
      <c r="BU58" s="328" t="str">
        <f>IF(OR(ISBLANK(AJ49),ISBLANK(AJ51)),"N/A",IF(BU56&gt;=BU57,"ok","&lt;&gt;"))</f>
        <v>N/A</v>
      </c>
      <c r="BV58" s="328"/>
    </row>
    <row r="59" spans="2:74" ht="18" customHeight="1">
      <c r="B59" s="400"/>
      <c r="C59" s="266" t="s">
        <v>667</v>
      </c>
      <c r="D59" s="669" t="s">
        <v>49</v>
      </c>
      <c r="E59" s="669"/>
      <c r="F59" s="669"/>
      <c r="G59" s="669"/>
      <c r="H59" s="669"/>
      <c r="I59" s="669"/>
      <c r="J59" s="669"/>
      <c r="K59" s="669"/>
      <c r="L59" s="669"/>
      <c r="M59" s="669"/>
      <c r="N59" s="669"/>
      <c r="O59" s="669"/>
      <c r="P59" s="669"/>
      <c r="Q59" s="669"/>
      <c r="R59" s="669"/>
      <c r="S59" s="669"/>
      <c r="T59" s="669"/>
      <c r="U59" s="669"/>
      <c r="V59" s="669"/>
      <c r="W59" s="669"/>
      <c r="X59" s="669"/>
      <c r="Y59" s="669"/>
      <c r="Z59" s="669"/>
      <c r="AA59" s="669"/>
      <c r="AB59" s="669"/>
      <c r="AC59" s="669"/>
      <c r="AD59" s="669"/>
      <c r="AE59" s="669"/>
      <c r="AF59" s="669"/>
      <c r="AG59" s="669"/>
      <c r="AH59" s="669"/>
      <c r="AI59" s="669"/>
      <c r="AJ59" s="669"/>
      <c r="AK59" s="669"/>
      <c r="AL59" s="669"/>
      <c r="AN59" s="60"/>
      <c r="AO59" s="79" t="s">
        <v>658</v>
      </c>
      <c r="AP59" s="60"/>
      <c r="AQ59" s="142"/>
      <c r="AR59" s="192"/>
      <c r="AS59" s="142"/>
      <c r="AT59" s="192"/>
      <c r="AU59" s="142"/>
      <c r="AV59" s="192"/>
      <c r="AW59" s="142"/>
      <c r="AX59" s="192"/>
      <c r="AY59" s="142"/>
      <c r="AZ59" s="192"/>
      <c r="BA59" s="142"/>
      <c r="BB59" s="192"/>
      <c r="BC59" s="142"/>
      <c r="BD59" s="192"/>
      <c r="BE59" s="142"/>
      <c r="BF59" s="192"/>
      <c r="BG59" s="142"/>
      <c r="BH59" s="192"/>
      <c r="BI59" s="142"/>
      <c r="BJ59" s="192"/>
      <c r="BK59" s="142"/>
      <c r="BL59" s="192"/>
      <c r="BM59" s="142"/>
      <c r="BN59" s="192"/>
      <c r="BO59" s="142"/>
      <c r="BP59" s="192"/>
      <c r="BQ59" s="142"/>
      <c r="BR59" s="192"/>
      <c r="BS59" s="142"/>
      <c r="BT59" s="192"/>
      <c r="BU59" s="142"/>
      <c r="BV59" s="192"/>
    </row>
    <row r="60" spans="3:74" ht="5.25" customHeight="1">
      <c r="C60" s="278"/>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N60" s="60">
        <v>36</v>
      </c>
      <c r="AO60" s="428" t="s">
        <v>562</v>
      </c>
      <c r="AP60" s="60" t="s">
        <v>171</v>
      </c>
      <c r="AQ60" s="328">
        <f>F53</f>
        <v>0</v>
      </c>
      <c r="AR60" s="328"/>
      <c r="AS60" s="328">
        <f>H53</f>
        <v>0</v>
      </c>
      <c r="AT60" s="328"/>
      <c r="AU60" s="328">
        <f>J53</f>
        <v>0</v>
      </c>
      <c r="AV60" s="328"/>
      <c r="AW60" s="328">
        <f>L53</f>
        <v>0</v>
      </c>
      <c r="AX60" s="328"/>
      <c r="AY60" s="328">
        <f>N53</f>
        <v>0</v>
      </c>
      <c r="AZ60" s="328"/>
      <c r="BA60" s="328">
        <f>P53</f>
        <v>0</v>
      </c>
      <c r="BB60" s="328"/>
      <c r="BC60" s="328">
        <f>R53</f>
        <v>0</v>
      </c>
      <c r="BD60" s="328"/>
      <c r="BE60" s="328">
        <f>T53</f>
        <v>0</v>
      </c>
      <c r="BF60" s="328"/>
      <c r="BG60" s="328">
        <f>V53</f>
        <v>0</v>
      </c>
      <c r="BH60" s="328"/>
      <c r="BI60" s="328">
        <f>X53</f>
        <v>0</v>
      </c>
      <c r="BJ60" s="328"/>
      <c r="BK60" s="328">
        <f>Z53</f>
        <v>0</v>
      </c>
      <c r="BL60" s="328"/>
      <c r="BM60" s="328">
        <f>AB53</f>
        <v>0</v>
      </c>
      <c r="BN60" s="328"/>
      <c r="BO60" s="328">
        <f>AD53</f>
        <v>0</v>
      </c>
      <c r="BP60" s="328"/>
      <c r="BQ60" s="328">
        <f>AF53</f>
        <v>0</v>
      </c>
      <c r="BR60" s="328"/>
      <c r="BS60" s="328">
        <f>AH53</f>
        <v>0</v>
      </c>
      <c r="BT60" s="328"/>
      <c r="BU60" s="328">
        <f>AJ53</f>
        <v>0</v>
      </c>
      <c r="BV60" s="328"/>
    </row>
    <row r="61" spans="1:74" s="14" customFormat="1" ht="17.25" customHeight="1">
      <c r="A61" s="424"/>
      <c r="B61" s="406">
        <v>2</v>
      </c>
      <c r="C61" s="119" t="s">
        <v>50</v>
      </c>
      <c r="D61" s="121"/>
      <c r="E61" s="119"/>
      <c r="F61" s="117"/>
      <c r="G61" s="162"/>
      <c r="H61" s="182"/>
      <c r="I61" s="166"/>
      <c r="J61" s="182"/>
      <c r="K61" s="166"/>
      <c r="L61" s="182"/>
      <c r="M61" s="166"/>
      <c r="N61" s="182"/>
      <c r="O61" s="166"/>
      <c r="P61" s="182"/>
      <c r="Q61" s="162"/>
      <c r="R61" s="182"/>
      <c r="S61" s="162"/>
      <c r="T61" s="182"/>
      <c r="U61" s="162"/>
      <c r="V61" s="182"/>
      <c r="W61" s="162"/>
      <c r="X61" s="182"/>
      <c r="Y61" s="162"/>
      <c r="Z61" s="189"/>
      <c r="AA61" s="162"/>
      <c r="AB61" s="182"/>
      <c r="AC61" s="166"/>
      <c r="AD61" s="182"/>
      <c r="AE61" s="162"/>
      <c r="AF61" s="182"/>
      <c r="AG61" s="162"/>
      <c r="AH61" s="182"/>
      <c r="AI61" s="234"/>
      <c r="AJ61" s="194"/>
      <c r="AK61" s="557"/>
      <c r="AL61" s="557"/>
      <c r="AM61" s="251"/>
      <c r="AN61" s="476">
        <v>37</v>
      </c>
      <c r="AO61" s="467" t="s">
        <v>650</v>
      </c>
      <c r="AP61" s="60" t="s">
        <v>609</v>
      </c>
      <c r="AQ61" s="328">
        <f>F13+F19+F25+F31+F38+F44+F50</f>
        <v>0</v>
      </c>
      <c r="AR61" s="328"/>
      <c r="AS61" s="328">
        <f>H13+H19+H25+H31+H38+H44+H50</f>
        <v>0</v>
      </c>
      <c r="AT61" s="328"/>
      <c r="AU61" s="328">
        <f>J13+J19+J25+J31+J38+J44+J50</f>
        <v>0</v>
      </c>
      <c r="AV61" s="328"/>
      <c r="AW61" s="328">
        <f>L13+L19+L25+L31+L38+L44+L50</f>
        <v>0</v>
      </c>
      <c r="AX61" s="328"/>
      <c r="AY61" s="328">
        <f>N13+N19+N25+N31+N38+N44+N50</f>
        <v>0</v>
      </c>
      <c r="AZ61" s="328"/>
      <c r="BA61" s="328">
        <f>P13+P19+P25+P31+P38+P44+P50</f>
        <v>0</v>
      </c>
      <c r="BB61" s="328"/>
      <c r="BC61" s="328">
        <f>R13+R19+R25+R31+R38+R44+R50</f>
        <v>0</v>
      </c>
      <c r="BD61" s="328"/>
      <c r="BE61" s="328">
        <f>T13+T19+T25+T31+T38+T44+T50</f>
        <v>0</v>
      </c>
      <c r="BF61" s="328"/>
      <c r="BG61" s="328">
        <f>V13+V19+V25+V31+V38+V44+V50</f>
        <v>0</v>
      </c>
      <c r="BH61" s="328"/>
      <c r="BI61" s="328">
        <f>X13+X19+X25+X31+X38+X44+X50</f>
        <v>0</v>
      </c>
      <c r="BJ61" s="328"/>
      <c r="BK61" s="328">
        <f>Z13+Z19+Z25+Z31+Z38+Z44+Z50</f>
        <v>0</v>
      </c>
      <c r="BL61" s="328"/>
      <c r="BM61" s="328">
        <f>AB13+AB19+AB25+AB31+AB38+AB44+AB50</f>
        <v>0</v>
      </c>
      <c r="BN61" s="328"/>
      <c r="BO61" s="328">
        <f>AD13+AD19+AD25+AD31+AD38+AD44+AD50</f>
        <v>0</v>
      </c>
      <c r="BP61" s="328"/>
      <c r="BQ61" s="328">
        <f>AF13+AF19+AF25+AF31+AF38+AF44+AF50</f>
        <v>0</v>
      </c>
      <c r="BR61" s="328"/>
      <c r="BS61" s="328">
        <f>AH13+AH19+AH25+AH31+AH38+AH44+AH50</f>
        <v>0</v>
      </c>
      <c r="BT61" s="328"/>
      <c r="BU61" s="328">
        <f>AJ13+AJ19+AJ25+AJ31+AJ38+AJ44+AJ50</f>
        <v>0</v>
      </c>
      <c r="BV61" s="328"/>
    </row>
    <row r="62" spans="3:74" ht="11.25" customHeight="1">
      <c r="C62" s="45"/>
      <c r="D62" s="45"/>
      <c r="E62" s="46"/>
      <c r="F62" s="13"/>
      <c r="G62" s="169"/>
      <c r="H62" s="188"/>
      <c r="I62" s="171"/>
      <c r="J62" s="188"/>
      <c r="K62" s="171"/>
      <c r="L62" s="188"/>
      <c r="M62" s="171"/>
      <c r="N62" s="188"/>
      <c r="O62" s="171"/>
      <c r="P62" s="188"/>
      <c r="Q62" s="169"/>
      <c r="R62" s="188"/>
      <c r="S62" s="169"/>
      <c r="T62" s="188"/>
      <c r="U62" s="169"/>
      <c r="V62" s="188"/>
      <c r="W62" s="169"/>
      <c r="X62" s="188"/>
      <c r="Y62" s="169"/>
      <c r="Z62" s="190"/>
      <c r="AA62" s="169"/>
      <c r="AB62" s="188"/>
      <c r="AC62" s="171"/>
      <c r="AD62" s="188"/>
      <c r="AE62" s="169"/>
      <c r="AF62" s="183"/>
      <c r="AG62" s="163"/>
      <c r="AH62" s="183"/>
      <c r="AI62" s="161"/>
      <c r="AJ62" s="177"/>
      <c r="AK62" s="80"/>
      <c r="AL62" s="80"/>
      <c r="AN62" s="483" t="s">
        <v>677</v>
      </c>
      <c r="AO62" s="477" t="s">
        <v>652</v>
      </c>
      <c r="AP62" s="316"/>
      <c r="AQ62" s="447" t="str">
        <f>IF(OR(ISBLANK(F53)),"N/A",IF(ROUND(AQ60,0)/365&lt;=ROUND(AQ61,0),"ok","&lt;&gt;"))</f>
        <v>N/A</v>
      </c>
      <c r="AR62" s="447"/>
      <c r="AS62" s="447" t="str">
        <f>IF(OR(ISBLANK(H53)),"N/A",IF(ROUND(AS60,0)/365&lt;=ROUND(AS61,0),"ok","&lt;&gt;"))</f>
        <v>N/A</v>
      </c>
      <c r="AT62" s="447"/>
      <c r="AU62" s="447" t="str">
        <f>IF(OR(ISBLANK(J53)),"N/A",IF(ROUND(AU60,0)/365&lt;=ROUND(AU61,0),"ok","&lt;&gt;"))</f>
        <v>N/A</v>
      </c>
      <c r="AV62" s="447"/>
      <c r="AW62" s="447" t="str">
        <f>IF(OR(ISBLANK(L53)),"N/A",IF(ROUND(AW60,0)/365&lt;=ROUND(AW61,0),"ok","&lt;&gt;"))</f>
        <v>N/A</v>
      </c>
      <c r="AX62" s="447"/>
      <c r="AY62" s="447" t="str">
        <f>IF(OR(ISBLANK(N53)),"N/A",IF(ROUND(AY60,0)/365&lt;=ROUND(AY61,0),"ok","&lt;&gt;"))</f>
        <v>N/A</v>
      </c>
      <c r="AZ62" s="447"/>
      <c r="BA62" s="447" t="str">
        <f>IF(OR(ISBLANK(P53)),"N/A",IF(ROUND(BA60,0)/365&lt;=ROUND(BA61,0),"ok","&lt;&gt;"))</f>
        <v>N/A</v>
      </c>
      <c r="BB62" s="447"/>
      <c r="BC62" s="447" t="str">
        <f>IF(OR(ISBLANK(R53)),"N/A",IF(ROUND(BC60,0)/365&lt;=ROUND(BC61,0),"ok","&lt;&gt;"))</f>
        <v>N/A</v>
      </c>
      <c r="BD62" s="447"/>
      <c r="BE62" s="447" t="str">
        <f>IF(OR(ISBLANK(T53)),"N/A",IF(ROUND(BE60,0)/365&lt;=ROUND(BE61,0),"ok","&lt;&gt;"))</f>
        <v>N/A</v>
      </c>
      <c r="BF62" s="447"/>
      <c r="BG62" s="447" t="str">
        <f>IF(OR(ISBLANK(V53)),"N/A",IF(ROUND(BG60,0)/365&lt;=ROUND(BG61,0),"ok","&lt;&gt;"))</f>
        <v>N/A</v>
      </c>
      <c r="BH62" s="447"/>
      <c r="BI62" s="447" t="str">
        <f>IF(OR(ISBLANK(X53)),"N/A",IF(ROUND(BI60,0)/365&lt;=ROUND(BI61,0),"ok","&lt;&gt;"))</f>
        <v>N/A</v>
      </c>
      <c r="BJ62" s="447"/>
      <c r="BK62" s="447" t="str">
        <f>IF(OR(ISBLANK(Z53)),"N/A",IF(ROUND(BK60,0)/365&lt;=ROUND(BK61,0),"ok","&lt;&gt;"))</f>
        <v>N/A</v>
      </c>
      <c r="BL62" s="447"/>
      <c r="BM62" s="447" t="str">
        <f>IF(OR(ISBLANK(AB53)),"N/A",IF(ROUND(BM60,0)/365&lt;=ROUND(BM61,0),"ok","&lt;&gt;"))</f>
        <v>N/A</v>
      </c>
      <c r="BN62" s="447"/>
      <c r="BO62" s="447" t="str">
        <f>IF(OR(ISBLANK(AD53)),"N/A",IF(ROUND(BO60,0)/365&lt;=ROUND(BO61,0),"ok","&lt;&gt;"))</f>
        <v>N/A</v>
      </c>
      <c r="BP62" s="447"/>
      <c r="BQ62" s="447" t="str">
        <f>IF(OR(ISBLANK(AF53)),"N/A",IF(ROUND(BQ60,0)/365&lt;=ROUND(BQ61,0),"ok","&lt;&gt;"))</f>
        <v>N/A</v>
      </c>
      <c r="BR62" s="447"/>
      <c r="BS62" s="447" t="str">
        <f>IF(OR(ISBLANK(AH53)),"N/A",IF(ROUND(BS60,0)/365&lt;=ROUND(BS61,0),"ok","&lt;&gt;"))</f>
        <v>N/A</v>
      </c>
      <c r="BT62" s="447"/>
      <c r="BU62" s="447" t="str">
        <f>IF(OR(ISBLANK(AJ53)),"N/A",IF(ROUND(BU60,0)/365&lt;=ROUND(BU61,0),"ok","&lt;&gt;"))</f>
        <v>N/A</v>
      </c>
      <c r="BV62" s="447"/>
    </row>
    <row r="63" spans="3:73" ht="12.75">
      <c r="C63" s="73" t="s">
        <v>168</v>
      </c>
      <c r="D63" s="686" t="s">
        <v>51</v>
      </c>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8"/>
      <c r="AN63" s="386"/>
      <c r="AO63" s="455"/>
      <c r="AP63" s="386"/>
      <c r="AQ63" s="452"/>
      <c r="AR63" s="387"/>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row>
    <row r="64" spans="3:73" ht="12.75">
      <c r="C64" s="522"/>
      <c r="D64" s="701"/>
      <c r="E64" s="702"/>
      <c r="F64" s="702"/>
      <c r="G64" s="702"/>
      <c r="H64" s="702"/>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c r="AG64" s="702"/>
      <c r="AH64" s="702"/>
      <c r="AI64" s="702"/>
      <c r="AJ64" s="702"/>
      <c r="AK64" s="702"/>
      <c r="AL64" s="703"/>
      <c r="AN64" s="449" t="s">
        <v>616</v>
      </c>
      <c r="AO64" s="478" t="s">
        <v>617</v>
      </c>
      <c r="AP64" s="251"/>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c r="BR64" s="452"/>
      <c r="BS64" s="452"/>
      <c r="BT64" s="452"/>
      <c r="BU64" s="452"/>
    </row>
    <row r="65" spans="3:73" ht="12.75">
      <c r="C65" s="522"/>
      <c r="D65" s="691"/>
      <c r="E65" s="693"/>
      <c r="F65" s="693"/>
      <c r="G65" s="693"/>
      <c r="H65" s="693"/>
      <c r="I65" s="693"/>
      <c r="J65" s="693"/>
      <c r="K65" s="693"/>
      <c r="L65" s="693"/>
      <c r="M65" s="693"/>
      <c r="N65" s="693"/>
      <c r="O65" s="693"/>
      <c r="P65" s="693"/>
      <c r="Q65" s="693"/>
      <c r="R65" s="693"/>
      <c r="S65" s="693"/>
      <c r="T65" s="693"/>
      <c r="U65" s="693"/>
      <c r="V65" s="693"/>
      <c r="W65" s="693"/>
      <c r="X65" s="693"/>
      <c r="Y65" s="693"/>
      <c r="Z65" s="693"/>
      <c r="AA65" s="693"/>
      <c r="AB65" s="693"/>
      <c r="AC65" s="693"/>
      <c r="AD65" s="693"/>
      <c r="AE65" s="693"/>
      <c r="AF65" s="693"/>
      <c r="AG65" s="693"/>
      <c r="AH65" s="693"/>
      <c r="AI65" s="693"/>
      <c r="AJ65" s="693"/>
      <c r="AK65" s="693"/>
      <c r="AL65" s="699"/>
      <c r="AN65" s="449" t="s">
        <v>618</v>
      </c>
      <c r="AO65" s="478" t="s">
        <v>619</v>
      </c>
      <c r="AP65" s="386"/>
      <c r="AQ65" s="251"/>
      <c r="AR65" s="387"/>
      <c r="AS65" s="323"/>
      <c r="AT65" s="387"/>
      <c r="AU65" s="323"/>
      <c r="AV65" s="387"/>
      <c r="AW65" s="323"/>
      <c r="AX65" s="387"/>
      <c r="AY65" s="323"/>
      <c r="AZ65" s="387"/>
      <c r="BA65" s="322"/>
      <c r="BB65" s="387"/>
      <c r="BC65" s="322"/>
      <c r="BD65" s="387"/>
      <c r="BE65" s="322"/>
      <c r="BF65" s="387"/>
      <c r="BG65" s="322"/>
      <c r="BH65" s="387"/>
      <c r="BI65" s="322"/>
      <c r="BJ65" s="387"/>
      <c r="BK65" s="322"/>
      <c r="BL65" s="387"/>
      <c r="BM65" s="323"/>
      <c r="BN65" s="387"/>
      <c r="BO65" s="322"/>
      <c r="BP65" s="387"/>
      <c r="BQ65" s="322"/>
      <c r="BR65" s="387"/>
      <c r="BS65" s="322"/>
      <c r="BT65" s="387"/>
      <c r="BU65" s="322"/>
    </row>
    <row r="66" spans="3:73" ht="12.75">
      <c r="C66" s="522"/>
      <c r="D66" s="691"/>
      <c r="E66" s="693"/>
      <c r="F66" s="693"/>
      <c r="G66" s="693"/>
      <c r="H66" s="693"/>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93"/>
      <c r="AG66" s="693"/>
      <c r="AH66" s="693"/>
      <c r="AI66" s="693"/>
      <c r="AJ66" s="693"/>
      <c r="AK66" s="693"/>
      <c r="AL66" s="699"/>
      <c r="AN66" s="451" t="s">
        <v>620</v>
      </c>
      <c r="AO66" s="478" t="s">
        <v>533</v>
      </c>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row>
    <row r="67" spans="3:73" ht="12.75">
      <c r="C67" s="522"/>
      <c r="D67" s="691"/>
      <c r="E67" s="693"/>
      <c r="F67" s="693"/>
      <c r="G67" s="693"/>
      <c r="H67" s="693"/>
      <c r="I67" s="693"/>
      <c r="J67" s="693"/>
      <c r="K67" s="693"/>
      <c r="L67" s="693"/>
      <c r="M67" s="693"/>
      <c r="N67" s="693"/>
      <c r="O67" s="693"/>
      <c r="P67" s="693"/>
      <c r="Q67" s="693"/>
      <c r="R67" s="693"/>
      <c r="S67" s="693"/>
      <c r="T67" s="693"/>
      <c r="U67" s="693"/>
      <c r="V67" s="693"/>
      <c r="W67" s="693"/>
      <c r="X67" s="693"/>
      <c r="Y67" s="693"/>
      <c r="Z67" s="693"/>
      <c r="AA67" s="693"/>
      <c r="AB67" s="693"/>
      <c r="AC67" s="693"/>
      <c r="AD67" s="693"/>
      <c r="AE67" s="693"/>
      <c r="AF67" s="693"/>
      <c r="AG67" s="693"/>
      <c r="AH67" s="693"/>
      <c r="AI67" s="693"/>
      <c r="AJ67" s="693"/>
      <c r="AK67" s="693"/>
      <c r="AL67" s="699"/>
      <c r="AN67" s="251"/>
      <c r="AO67" s="489"/>
      <c r="AP67" s="251"/>
      <c r="AQ67" s="251"/>
      <c r="AR67" s="251"/>
      <c r="AS67" s="251"/>
      <c r="AT67" s="251"/>
      <c r="AU67" s="251"/>
      <c r="AV67" s="251"/>
      <c r="AW67" s="251"/>
      <c r="AX67" s="251"/>
      <c r="AY67" s="251"/>
      <c r="AZ67" s="251"/>
      <c r="BA67" s="251"/>
      <c r="BB67" s="251"/>
      <c r="BC67" s="251"/>
      <c r="BD67" s="251"/>
      <c r="BE67" s="251"/>
      <c r="BF67" s="251"/>
      <c r="BG67" s="251"/>
      <c r="BH67" s="251"/>
      <c r="BI67" s="251"/>
      <c r="BJ67" s="251"/>
      <c r="BK67" s="251"/>
      <c r="BL67" s="251"/>
      <c r="BM67" s="251"/>
      <c r="BN67" s="251"/>
      <c r="BO67" s="251"/>
      <c r="BP67" s="251"/>
      <c r="BQ67" s="251"/>
      <c r="BR67" s="251"/>
      <c r="BS67" s="251"/>
      <c r="BT67" s="251"/>
      <c r="BU67" s="251"/>
    </row>
    <row r="68" spans="3:38" ht="12.75">
      <c r="C68" s="522"/>
      <c r="D68" s="691"/>
      <c r="E68" s="693"/>
      <c r="F68" s="693"/>
      <c r="G68" s="693"/>
      <c r="H68" s="693"/>
      <c r="I68" s="693"/>
      <c r="J68" s="693"/>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9"/>
    </row>
    <row r="69" spans="3:38" ht="12.75">
      <c r="C69" s="522"/>
      <c r="D69" s="691"/>
      <c r="E69" s="693"/>
      <c r="F69" s="693"/>
      <c r="G69" s="693"/>
      <c r="H69" s="693"/>
      <c r="I69" s="693"/>
      <c r="J69" s="693"/>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693"/>
      <c r="AJ69" s="693"/>
      <c r="AK69" s="693"/>
      <c r="AL69" s="699"/>
    </row>
    <row r="70" spans="3:38" ht="12.75">
      <c r="C70" s="522"/>
      <c r="D70" s="691"/>
      <c r="E70" s="693"/>
      <c r="F70" s="693"/>
      <c r="G70" s="693"/>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9"/>
    </row>
    <row r="71" spans="3:38" ht="12.75">
      <c r="C71" s="522"/>
      <c r="D71" s="691"/>
      <c r="E71" s="693"/>
      <c r="F71" s="693"/>
      <c r="G71" s="693"/>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693"/>
      <c r="AI71" s="693"/>
      <c r="AJ71" s="693"/>
      <c r="AK71" s="693"/>
      <c r="AL71" s="699"/>
    </row>
    <row r="72" spans="3:38" ht="12.75">
      <c r="C72" s="522"/>
      <c r="D72" s="691"/>
      <c r="E72" s="693"/>
      <c r="F72" s="693"/>
      <c r="G72" s="693"/>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9"/>
    </row>
    <row r="73" spans="3:38" ht="12.75">
      <c r="C73" s="522"/>
      <c r="D73" s="691"/>
      <c r="E73" s="693"/>
      <c r="F73" s="693"/>
      <c r="G73" s="693"/>
      <c r="H73" s="693"/>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9"/>
    </row>
    <row r="74" spans="3:38" ht="12.75">
      <c r="C74" s="522"/>
      <c r="D74" s="691"/>
      <c r="E74" s="693"/>
      <c r="F74" s="693"/>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9"/>
    </row>
    <row r="75" spans="3:38" ht="12.75">
      <c r="C75" s="522"/>
      <c r="D75" s="691"/>
      <c r="E75" s="693"/>
      <c r="F75" s="693"/>
      <c r="G75" s="693"/>
      <c r="H75" s="693"/>
      <c r="I75" s="693"/>
      <c r="J75" s="693"/>
      <c r="K75" s="693"/>
      <c r="L75" s="693"/>
      <c r="M75" s="693"/>
      <c r="N75" s="693"/>
      <c r="O75" s="693"/>
      <c r="P75" s="693"/>
      <c r="Q75" s="693"/>
      <c r="R75" s="693"/>
      <c r="S75" s="693"/>
      <c r="T75" s="693"/>
      <c r="U75" s="693"/>
      <c r="V75" s="693"/>
      <c r="W75" s="693"/>
      <c r="X75" s="693"/>
      <c r="Y75" s="693"/>
      <c r="Z75" s="693"/>
      <c r="AA75" s="693"/>
      <c r="AB75" s="693"/>
      <c r="AC75" s="693"/>
      <c r="AD75" s="693"/>
      <c r="AE75" s="693"/>
      <c r="AF75" s="693"/>
      <c r="AG75" s="693"/>
      <c r="AH75" s="693"/>
      <c r="AI75" s="693"/>
      <c r="AJ75" s="693"/>
      <c r="AK75" s="693"/>
      <c r="AL75" s="699"/>
    </row>
    <row r="76" spans="3:38" ht="12.75">
      <c r="C76" s="522"/>
      <c r="D76" s="691"/>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9"/>
    </row>
    <row r="77" spans="3:38" ht="12.75">
      <c r="C77" s="522"/>
      <c r="D77" s="691"/>
      <c r="E77" s="693"/>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9"/>
    </row>
    <row r="78" spans="3:74" ht="12.75">
      <c r="C78" s="522"/>
      <c r="D78" s="691"/>
      <c r="E78" s="693"/>
      <c r="F78" s="693"/>
      <c r="G78" s="693"/>
      <c r="H78" s="693"/>
      <c r="I78" s="693"/>
      <c r="J78" s="693"/>
      <c r="K78" s="693"/>
      <c r="L78" s="693"/>
      <c r="M78" s="693"/>
      <c r="N78" s="693"/>
      <c r="O78" s="693"/>
      <c r="P78" s="693"/>
      <c r="Q78" s="693"/>
      <c r="R78" s="693"/>
      <c r="S78" s="693"/>
      <c r="T78" s="693"/>
      <c r="U78" s="693"/>
      <c r="V78" s="693"/>
      <c r="W78" s="693"/>
      <c r="X78" s="693"/>
      <c r="Y78" s="693"/>
      <c r="Z78" s="693"/>
      <c r="AA78" s="693"/>
      <c r="AB78" s="693"/>
      <c r="AC78" s="693"/>
      <c r="AD78" s="693"/>
      <c r="AE78" s="693"/>
      <c r="AF78" s="693"/>
      <c r="AG78" s="693"/>
      <c r="AH78" s="693"/>
      <c r="AI78" s="693"/>
      <c r="AJ78" s="693"/>
      <c r="AK78" s="693"/>
      <c r="AL78" s="699"/>
      <c r="BV78" s="251"/>
    </row>
    <row r="79" spans="3:38" ht="12.75">
      <c r="C79" s="522"/>
      <c r="D79" s="691"/>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9"/>
    </row>
    <row r="80" spans="3:38" ht="12.75">
      <c r="C80" s="522"/>
      <c r="D80" s="691"/>
      <c r="E80" s="693"/>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9"/>
    </row>
    <row r="81" spans="3:38" ht="12.75">
      <c r="C81" s="522"/>
      <c r="D81" s="691"/>
      <c r="E81" s="693"/>
      <c r="F81" s="693"/>
      <c r="G81" s="693"/>
      <c r="H81" s="693"/>
      <c r="I81" s="693"/>
      <c r="J81" s="693"/>
      <c r="K81" s="693"/>
      <c r="L81" s="693"/>
      <c r="M81" s="693"/>
      <c r="N81" s="693"/>
      <c r="O81" s="693"/>
      <c r="P81" s="693"/>
      <c r="Q81" s="693"/>
      <c r="R81" s="693"/>
      <c r="S81" s="693"/>
      <c r="T81" s="693"/>
      <c r="U81" s="693"/>
      <c r="V81" s="693"/>
      <c r="W81" s="693"/>
      <c r="X81" s="693"/>
      <c r="Y81" s="693"/>
      <c r="Z81" s="693"/>
      <c r="AA81" s="693"/>
      <c r="AB81" s="693"/>
      <c r="AC81" s="693"/>
      <c r="AD81" s="693"/>
      <c r="AE81" s="693"/>
      <c r="AF81" s="693"/>
      <c r="AG81" s="693"/>
      <c r="AH81" s="693"/>
      <c r="AI81" s="693"/>
      <c r="AJ81" s="693"/>
      <c r="AK81" s="693"/>
      <c r="AL81" s="699"/>
    </row>
    <row r="82" spans="1:38" ht="12.75">
      <c r="A82" s="427"/>
      <c r="C82" s="522"/>
      <c r="D82" s="691"/>
      <c r="E82" s="693"/>
      <c r="F82" s="693"/>
      <c r="G82" s="693"/>
      <c r="H82" s="693"/>
      <c r="I82" s="693"/>
      <c r="J82" s="693"/>
      <c r="K82" s="693"/>
      <c r="L82" s="693"/>
      <c r="M82" s="693"/>
      <c r="N82" s="693"/>
      <c r="O82" s="693"/>
      <c r="P82" s="693"/>
      <c r="Q82" s="693"/>
      <c r="R82" s="693"/>
      <c r="S82" s="693"/>
      <c r="T82" s="693"/>
      <c r="U82" s="693"/>
      <c r="V82" s="693"/>
      <c r="W82" s="693"/>
      <c r="X82" s="693"/>
      <c r="Y82" s="693"/>
      <c r="Z82" s="693"/>
      <c r="AA82" s="693"/>
      <c r="AB82" s="693"/>
      <c r="AC82" s="693"/>
      <c r="AD82" s="693"/>
      <c r="AE82" s="693"/>
      <c r="AF82" s="693"/>
      <c r="AG82" s="693"/>
      <c r="AH82" s="693"/>
      <c r="AI82" s="693"/>
      <c r="AJ82" s="693"/>
      <c r="AK82" s="693"/>
      <c r="AL82" s="699"/>
    </row>
    <row r="83" spans="3:38" ht="12.75">
      <c r="C83" s="522"/>
      <c r="D83" s="691"/>
      <c r="E83" s="693"/>
      <c r="F83" s="693"/>
      <c r="G83" s="693"/>
      <c r="H83" s="693"/>
      <c r="I83" s="693"/>
      <c r="J83" s="693"/>
      <c r="K83" s="693"/>
      <c r="L83" s="693"/>
      <c r="M83" s="693"/>
      <c r="N83" s="693"/>
      <c r="O83" s="693"/>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9"/>
    </row>
    <row r="84" spans="3:38" ht="12.75">
      <c r="C84" s="523"/>
      <c r="D84" s="691"/>
      <c r="E84" s="693"/>
      <c r="F84" s="693"/>
      <c r="G84" s="693"/>
      <c r="H84" s="693"/>
      <c r="I84" s="693"/>
      <c r="J84" s="693"/>
      <c r="K84" s="693"/>
      <c r="L84" s="693"/>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3"/>
      <c r="AJ84" s="693"/>
      <c r="AK84" s="693"/>
      <c r="AL84" s="699"/>
    </row>
    <row r="85" spans="3:73" ht="12.75">
      <c r="C85" s="524"/>
      <c r="D85" s="697"/>
      <c r="E85" s="698"/>
      <c r="F85" s="698"/>
      <c r="G85" s="698"/>
      <c r="H85" s="698"/>
      <c r="I85" s="698"/>
      <c r="J85" s="698"/>
      <c r="K85" s="698"/>
      <c r="L85" s="698"/>
      <c r="M85" s="698"/>
      <c r="N85" s="698"/>
      <c r="O85" s="698"/>
      <c r="P85" s="698"/>
      <c r="Q85" s="698"/>
      <c r="R85" s="698"/>
      <c r="S85" s="698"/>
      <c r="T85" s="698"/>
      <c r="U85" s="698"/>
      <c r="V85" s="698"/>
      <c r="W85" s="698"/>
      <c r="X85" s="698"/>
      <c r="Y85" s="698"/>
      <c r="Z85" s="698"/>
      <c r="AA85" s="698"/>
      <c r="AB85" s="698"/>
      <c r="AC85" s="698"/>
      <c r="AD85" s="698"/>
      <c r="AE85" s="698"/>
      <c r="AF85" s="698"/>
      <c r="AG85" s="698"/>
      <c r="AH85" s="698"/>
      <c r="AI85" s="698"/>
      <c r="AJ85" s="698"/>
      <c r="AK85" s="698"/>
      <c r="AL85" s="700"/>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1"/>
      <c r="BU85" s="251"/>
    </row>
    <row r="86" spans="2:37" ht="12.75">
      <c r="B86" s="408"/>
      <c r="C86" s="80"/>
      <c r="D86" s="80"/>
      <c r="F86" s="8"/>
      <c r="G86" s="8"/>
      <c r="AA86" s="191"/>
      <c r="AI86" s="183"/>
      <c r="AJ86" s="163"/>
      <c r="AK86" s="183"/>
    </row>
  </sheetData>
  <sheetProtection sheet="1" objects="1" scenarios="1" formatCells="0" formatColumns="0" formatRows="0" insertColumns="0"/>
  <mergeCells count="37">
    <mergeCell ref="D79:AL79"/>
    <mergeCell ref="D84:AL84"/>
    <mergeCell ref="D85:AL85"/>
    <mergeCell ref="D80:AL80"/>
    <mergeCell ref="D81:AL81"/>
    <mergeCell ref="D82:AL82"/>
    <mergeCell ref="D83:AL83"/>
    <mergeCell ref="D75:AL75"/>
    <mergeCell ref="D76:AL76"/>
    <mergeCell ref="D77:AL77"/>
    <mergeCell ref="D78:AL78"/>
    <mergeCell ref="D71:AL71"/>
    <mergeCell ref="D72:AL72"/>
    <mergeCell ref="D73:AL73"/>
    <mergeCell ref="D74:AL74"/>
    <mergeCell ref="D67:AL67"/>
    <mergeCell ref="D68:AL68"/>
    <mergeCell ref="D69:AL69"/>
    <mergeCell ref="D70:AL70"/>
    <mergeCell ref="D59:AL59"/>
    <mergeCell ref="D64:AL64"/>
    <mergeCell ref="D65:AL65"/>
    <mergeCell ref="D66:AL66"/>
    <mergeCell ref="D63:AL63"/>
    <mergeCell ref="C52:E52"/>
    <mergeCell ref="D56:AK56"/>
    <mergeCell ref="D57:AK57"/>
    <mergeCell ref="D58:AL58"/>
    <mergeCell ref="AN3:BV3"/>
    <mergeCell ref="AN6:BV6"/>
    <mergeCell ref="C5:AH5"/>
    <mergeCell ref="C8:E8"/>
    <mergeCell ref="AN8:AP8"/>
    <mergeCell ref="C27:E27"/>
    <mergeCell ref="AN30:AP30"/>
    <mergeCell ref="C33:E33"/>
    <mergeCell ref="AN37:AP37"/>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horizontalCentered="1" verticalCentered="1"/>
  <pageMargins left="0.75" right="0.75" top="0.27" bottom="0.48" header="0.17" footer="0.2"/>
  <pageSetup horizontalDpi="600" verticalDpi="600" orientation="landscape" paperSize="9" scale="72" r:id="rId3"/>
  <headerFooter alignWithMargins="0">
    <oddFooter>&amp;C&amp;"Arial,Regular"&amp;8Questionnaire UNSD/PNUE 2010 sur les Statistiques de l’environnement - Section d'eau - p.&amp;P</oddFooter>
  </headerFooter>
  <rowBreaks count="1" manualBreakCount="1">
    <brk id="43" min="2" max="37" man="1"/>
  </rowBreaks>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sheetPr codeName="Sheet10"/>
  <dimension ref="A1:CJ74"/>
  <sheetViews>
    <sheetView showGridLines="0" zoomScale="83" zoomScaleNormal="83" zoomScaleSheetLayoutView="85" workbookViewId="0" topLeftCell="C1">
      <selection activeCell="B6" sqref="B6:D6"/>
    </sheetView>
  </sheetViews>
  <sheetFormatPr defaultColWidth="9.33203125" defaultRowHeight="12.75"/>
  <cols>
    <col min="1" max="1" width="6.66015625" style="424" hidden="1" customWidth="1"/>
    <col min="2" max="2" width="5.83203125" style="398" hidden="1" customWidth="1"/>
    <col min="3" max="3" width="11.16015625" style="0" customWidth="1"/>
    <col min="4" max="4" width="37.16015625" style="0" customWidth="1"/>
    <col min="5" max="6" width="8.66015625" style="0" customWidth="1"/>
    <col min="7" max="7" width="1.83203125" style="0" customWidth="1"/>
    <col min="8" max="8" width="7" style="161" customWidth="1"/>
    <col min="9" max="9" width="1.83203125" style="177" customWidth="1"/>
    <col min="10" max="10" width="7" style="165" hidden="1" customWidth="1"/>
    <col min="11" max="11" width="1.83203125" style="177" hidden="1" customWidth="1"/>
    <col min="12" max="12" width="7" style="165" hidden="1" customWidth="1"/>
    <col min="13" max="13" width="1.83203125" style="177" hidden="1" customWidth="1"/>
    <col min="14" max="14" width="7" style="165" hidden="1" customWidth="1"/>
    <col min="15" max="15" width="1.83203125" style="177" hidden="1" customWidth="1"/>
    <col min="16" max="16" width="7" style="165" hidden="1" customWidth="1"/>
    <col min="17" max="17" width="1.83203125" style="177" hidden="1" customWidth="1"/>
    <col min="18" max="18" width="7" style="161" customWidth="1"/>
    <col min="19" max="19" width="1.83203125" style="177" customWidth="1"/>
    <col min="20" max="20" width="7" style="161" customWidth="1"/>
    <col min="21" max="21" width="1.83203125" style="177" customWidth="1"/>
    <col min="22" max="22" width="7" style="161" customWidth="1"/>
    <col min="23" max="23" width="1.83203125" style="177" customWidth="1"/>
    <col min="24" max="24" width="7" style="161" customWidth="1"/>
    <col min="25" max="25" width="1.83203125" style="177" customWidth="1"/>
    <col min="26" max="26" width="7" style="161" customWidth="1"/>
    <col min="27" max="27" width="1.83203125" style="177" customWidth="1"/>
    <col min="28" max="28" width="7" style="161" customWidth="1"/>
    <col min="29" max="29" width="1.83203125" style="177" customWidth="1"/>
    <col min="30" max="30" width="7" style="165" customWidth="1"/>
    <col min="31" max="31" width="1.83203125" style="177" customWidth="1"/>
    <col min="32" max="32" width="7" style="161" customWidth="1"/>
    <col min="33" max="33" width="1.83203125" style="177" customWidth="1"/>
    <col min="34" max="34" width="7" style="161" customWidth="1"/>
    <col min="35" max="35" width="1.83203125" style="187" customWidth="1"/>
    <col min="36" max="36" width="7" style="161" customWidth="1"/>
    <col min="37" max="37" width="1.83203125" style="177" customWidth="1"/>
    <col min="38" max="38" width="1.83203125" style="0" customWidth="1"/>
    <col min="39" max="39" width="4.5" style="0" customWidth="1"/>
    <col min="40" max="40" width="6.66015625" style="307" customWidth="1"/>
    <col min="41" max="41" width="59" style="307" customWidth="1"/>
    <col min="42" max="42" width="7.16015625" style="307" customWidth="1"/>
    <col min="43" max="43" width="9.33203125" style="307" customWidth="1"/>
    <col min="44" max="44" width="1.83203125" style="307" customWidth="1"/>
    <col min="45" max="45" width="9" style="307" customWidth="1"/>
    <col min="46" max="46" width="1.83203125" style="307" customWidth="1"/>
    <col min="47" max="47" width="9.33203125" style="307" customWidth="1"/>
    <col min="48" max="48" width="1.83203125" style="307" customWidth="1"/>
    <col min="49" max="49" width="9.33203125" style="307" customWidth="1"/>
    <col min="50" max="50" width="1.83203125" style="307" customWidth="1"/>
    <col min="51" max="51" width="9.33203125" style="307" customWidth="1"/>
    <col min="52" max="52" width="1.83203125" style="307" customWidth="1"/>
    <col min="53" max="53" width="9.33203125" style="307" customWidth="1"/>
    <col min="54" max="54" width="1.83203125" style="307" customWidth="1"/>
    <col min="55" max="55" width="9.33203125" style="307" customWidth="1"/>
    <col min="56" max="56" width="1.83203125" style="307" customWidth="1"/>
    <col min="57" max="57" width="9.33203125" style="307" customWidth="1"/>
    <col min="58" max="58" width="1.83203125" style="307" customWidth="1"/>
    <col min="59" max="59" width="9.33203125" style="307" customWidth="1"/>
    <col min="60" max="60" width="1.83203125" style="307" customWidth="1"/>
    <col min="61" max="61" width="9.33203125" style="307" customWidth="1"/>
    <col min="62" max="62" width="1.83203125" style="307" customWidth="1"/>
    <col min="63" max="63" width="9.33203125" style="307" customWidth="1"/>
    <col min="64" max="64" width="1.83203125" style="307" customWidth="1"/>
    <col min="65" max="65" width="9.33203125" style="307" customWidth="1"/>
    <col min="66" max="66" width="1.83203125" style="307" customWidth="1"/>
    <col min="67" max="67" width="9.33203125" style="307" customWidth="1"/>
    <col min="68" max="68" width="1.83203125" style="307" customWidth="1"/>
    <col min="69" max="69" width="9.33203125" style="307" customWidth="1"/>
    <col min="70" max="70" width="1.83203125" style="307" customWidth="1"/>
    <col min="71" max="71" width="9.33203125" style="307" customWidth="1"/>
    <col min="72" max="72" width="1.83203125" style="307" customWidth="1"/>
    <col min="73" max="73" width="9.33203125" style="307" customWidth="1"/>
    <col min="74" max="74" width="1.83203125" style="307" customWidth="1"/>
  </cols>
  <sheetData>
    <row r="1" spans="1:74" s="50" customFormat="1" ht="15" customHeight="1">
      <c r="A1" s="401"/>
      <c r="B1" s="398">
        <v>0</v>
      </c>
      <c r="C1" s="113" t="s">
        <v>263</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6"/>
      <c r="AL1" s="116"/>
      <c r="AN1" s="437" t="s">
        <v>52</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3" customHeight="1">
      <c r="C2" s="80"/>
      <c r="D2" s="80"/>
      <c r="E2" s="1"/>
      <c r="F2" s="1"/>
      <c r="G2" s="172"/>
      <c r="H2" s="195"/>
      <c r="I2" s="173"/>
      <c r="J2" s="195"/>
      <c r="K2" s="173"/>
      <c r="L2" s="195"/>
      <c r="M2" s="173"/>
      <c r="N2" s="195"/>
      <c r="O2" s="173"/>
      <c r="P2" s="195"/>
      <c r="Q2" s="163"/>
      <c r="R2" s="177"/>
      <c r="S2" s="161"/>
      <c r="T2" s="177"/>
      <c r="U2" s="161"/>
      <c r="V2" s="177"/>
      <c r="W2" s="161"/>
      <c r="X2" s="177"/>
      <c r="Y2" s="161"/>
      <c r="Z2" s="177"/>
      <c r="AA2" s="161"/>
      <c r="AB2" s="177"/>
      <c r="AC2" s="165"/>
      <c r="AD2" s="177"/>
      <c r="AE2" s="161"/>
      <c r="AF2" s="177"/>
      <c r="AG2" s="161"/>
      <c r="AH2" s="177"/>
      <c r="AI2" s="161"/>
      <c r="AJ2" s="177"/>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6" s="276" customFormat="1" ht="24" customHeight="1">
      <c r="A3" s="400"/>
      <c r="B3" s="400"/>
      <c r="C3" s="127" t="s">
        <v>57</v>
      </c>
      <c r="D3" s="603"/>
      <c r="E3" s="587"/>
      <c r="F3" s="588"/>
      <c r="G3" s="163"/>
      <c r="H3" s="183"/>
      <c r="I3" s="167"/>
      <c r="J3" s="183"/>
      <c r="K3" s="167"/>
      <c r="L3" s="183"/>
      <c r="M3" s="167"/>
      <c r="N3" s="183"/>
      <c r="O3" s="167"/>
      <c r="P3" s="183"/>
      <c r="Q3" s="163"/>
      <c r="R3" s="183"/>
      <c r="S3" s="163"/>
      <c r="T3" s="183"/>
      <c r="U3" s="163"/>
      <c r="V3" s="274"/>
      <c r="W3" s="127" t="s">
        <v>32</v>
      </c>
      <c r="X3" s="188"/>
      <c r="Y3" s="169"/>
      <c r="Z3" s="188"/>
      <c r="AA3" s="171"/>
      <c r="AB3" s="188"/>
      <c r="AC3" s="169"/>
      <c r="AD3" s="188"/>
      <c r="AE3" s="169"/>
      <c r="AF3" s="188"/>
      <c r="AG3" s="169"/>
      <c r="AH3" s="188"/>
      <c r="AI3" s="13"/>
      <c r="AJ3" s="589"/>
      <c r="AK3" s="589"/>
      <c r="AL3" s="547"/>
      <c r="AM3" s="275"/>
      <c r="AN3" s="689" t="s">
        <v>53</v>
      </c>
      <c r="AO3" s="689"/>
      <c r="AP3" s="689"/>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277"/>
      <c r="BX3" s="277"/>
    </row>
    <row r="4" spans="3:74" ht="3.75" customHeight="1">
      <c r="C4" s="239"/>
      <c r="D4" s="239"/>
      <c r="E4" s="18"/>
      <c r="F4" s="18"/>
      <c r="G4" s="18"/>
      <c r="H4" s="163"/>
      <c r="I4" s="183"/>
      <c r="J4" s="167"/>
      <c r="K4" s="183"/>
      <c r="L4" s="167"/>
      <c r="M4" s="183"/>
      <c r="N4" s="167"/>
      <c r="O4" s="183"/>
      <c r="P4" s="167"/>
      <c r="Q4" s="183"/>
      <c r="R4" s="163"/>
      <c r="S4" s="183"/>
      <c r="T4" s="163"/>
      <c r="U4" s="183"/>
      <c r="V4" s="163"/>
      <c r="W4" s="183"/>
      <c r="X4" s="163"/>
      <c r="Y4" s="183"/>
      <c r="Z4" s="163"/>
      <c r="AA4" s="183"/>
      <c r="AB4" s="163"/>
      <c r="AC4" s="183"/>
      <c r="AD4" s="167"/>
      <c r="AE4" s="183"/>
      <c r="AF4" s="163"/>
      <c r="AG4" s="183"/>
      <c r="AH4" s="225"/>
      <c r="AJ4" s="163"/>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1:74" s="50" customFormat="1" ht="17.25" customHeight="1">
      <c r="A5" s="401"/>
      <c r="B5" s="398">
        <v>9</v>
      </c>
      <c r="C5" s="682" t="s">
        <v>126</v>
      </c>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182"/>
      <c r="AJ5" s="234"/>
      <c r="AK5" s="194"/>
      <c r="AL5" s="120"/>
      <c r="AN5" s="480" t="s">
        <v>54</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s="215" customFormat="1" ht="26.25" customHeight="1">
      <c r="A6" s="399"/>
      <c r="B6" s="398"/>
      <c r="C6" s="80"/>
      <c r="D6" s="80"/>
      <c r="E6" s="2"/>
      <c r="F6" s="2"/>
      <c r="G6" s="161"/>
      <c r="H6" s="177"/>
      <c r="I6" s="165"/>
      <c r="J6" s="177"/>
      <c r="K6" s="165"/>
      <c r="L6" s="177"/>
      <c r="M6" s="165"/>
      <c r="N6" s="177"/>
      <c r="O6" s="165"/>
      <c r="P6" s="177"/>
      <c r="Q6" s="161"/>
      <c r="R6" s="590" t="s">
        <v>34</v>
      </c>
      <c r="S6" s="161"/>
      <c r="T6" s="262"/>
      <c r="U6" s="263"/>
      <c r="V6" s="262"/>
      <c r="W6" s="264"/>
      <c r="X6" s="262"/>
      <c r="Y6" s="264"/>
      <c r="Z6" s="262"/>
      <c r="AA6" s="265"/>
      <c r="AB6" s="177"/>
      <c r="AC6" s="161"/>
      <c r="AD6" s="349"/>
      <c r="AE6" s="349"/>
      <c r="AF6" s="349"/>
      <c r="AG6" s="349"/>
      <c r="AH6" s="349"/>
      <c r="AI6" s="349"/>
      <c r="AJ6" s="349"/>
      <c r="AK6" s="350" t="s">
        <v>35</v>
      </c>
      <c r="AL6" s="8"/>
      <c r="AN6" s="690" t="s">
        <v>80</v>
      </c>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0"/>
      <c r="BU6" s="690"/>
      <c r="BV6" s="690"/>
    </row>
    <row r="7" spans="2:74" ht="22.5" customHeight="1">
      <c r="B7" s="398">
        <v>2</v>
      </c>
      <c r="C7" s="64" t="s">
        <v>36</v>
      </c>
      <c r="D7" s="64" t="s">
        <v>37</v>
      </c>
      <c r="E7" s="63" t="s">
        <v>38</v>
      </c>
      <c r="F7" s="136">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N7" s="63" t="s">
        <v>157</v>
      </c>
      <c r="AO7" s="63" t="s">
        <v>164</v>
      </c>
      <c r="AP7" s="63" t="s">
        <v>166</v>
      </c>
      <c r="AQ7" s="136">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1:74" s="68" customFormat="1" ht="27" customHeight="1">
      <c r="A8" s="456" t="s">
        <v>626</v>
      </c>
      <c r="B8" s="425">
        <v>163</v>
      </c>
      <c r="C8" s="70">
        <v>1</v>
      </c>
      <c r="D8" s="519" t="s">
        <v>15</v>
      </c>
      <c r="E8" s="70" t="s">
        <v>155</v>
      </c>
      <c r="F8" s="525"/>
      <c r="G8" s="526"/>
      <c r="H8" s="525"/>
      <c r="I8" s="526"/>
      <c r="J8" s="525"/>
      <c r="K8" s="526"/>
      <c r="L8" s="525"/>
      <c r="M8" s="526"/>
      <c r="N8" s="525"/>
      <c r="O8" s="526"/>
      <c r="P8" s="525"/>
      <c r="Q8" s="526"/>
      <c r="R8" s="525"/>
      <c r="S8" s="526"/>
      <c r="T8" s="525"/>
      <c r="U8" s="526"/>
      <c r="V8" s="525"/>
      <c r="W8" s="526"/>
      <c r="X8" s="525"/>
      <c r="Y8" s="526"/>
      <c r="Z8" s="525"/>
      <c r="AA8" s="526"/>
      <c r="AB8" s="525"/>
      <c r="AC8" s="526"/>
      <c r="AD8" s="525"/>
      <c r="AE8" s="526"/>
      <c r="AF8" s="525"/>
      <c r="AG8" s="526"/>
      <c r="AH8" s="525"/>
      <c r="AI8" s="526"/>
      <c r="AJ8" s="525"/>
      <c r="AK8" s="526"/>
      <c r="AN8" s="379">
        <v>1</v>
      </c>
      <c r="AO8" s="416" t="s">
        <v>531</v>
      </c>
      <c r="AP8" s="310" t="s">
        <v>155</v>
      </c>
      <c r="AQ8" s="312" t="s">
        <v>644</v>
      </c>
      <c r="AR8" s="313"/>
      <c r="AS8" s="325" t="str">
        <f aca="true" t="shared" si="0" ref="AS8:AS13">IF(OR(ISBLANK(F8),ISBLANK(H8)),"N/A",IF(ABS(H8-F8)&gt;25,"&gt; 25%","ok"))</f>
        <v>N/A</v>
      </c>
      <c r="AT8" s="325"/>
      <c r="AU8" s="325" t="str">
        <f aca="true" t="shared" si="1" ref="AU8:AU13">IF(OR(ISBLANK(H8),ISBLANK(J8)),"N/A",IF(ABS(J8-H8)&gt;25,"&gt; 25%","ok"))</f>
        <v>N/A</v>
      </c>
      <c r="AV8" s="325"/>
      <c r="AW8" s="325" t="str">
        <f aca="true" t="shared" si="2" ref="AW8:AW13">IF(OR(ISBLANK(J8),ISBLANK(L8)),"N/A",IF(ABS(L8-J8)&gt;25,"&gt; 25%","ok"))</f>
        <v>N/A</v>
      </c>
      <c r="AX8" s="325"/>
      <c r="AY8" s="325" t="str">
        <f aca="true" t="shared" si="3" ref="AY8:AY13">IF(OR(ISBLANK(L8),ISBLANK(N8)),"N/A",IF(ABS(N8-L8)&gt;25,"&gt; 25%","ok"))</f>
        <v>N/A</v>
      </c>
      <c r="AZ8" s="325"/>
      <c r="BA8" s="325" t="str">
        <f aca="true" t="shared" si="4" ref="BA8:BA13">IF(OR(ISBLANK(N8),ISBLANK(P8)),"N/A",IF(ABS(P8-N8)&gt;25,"&gt; 25%","ok"))</f>
        <v>N/A</v>
      </c>
      <c r="BB8" s="325"/>
      <c r="BC8" s="325" t="str">
        <f aca="true" t="shared" si="5" ref="BC8:BC13">IF(OR(ISBLANK(P8),ISBLANK(R8)),"N/A",IF(ABS(R8-P8)&gt;25,"&gt; 25%","ok"))</f>
        <v>N/A</v>
      </c>
      <c r="BD8" s="325"/>
      <c r="BE8" s="325" t="str">
        <f aca="true" t="shared" si="6" ref="BE8:BE13">IF(OR(ISBLANK(R8),ISBLANK(T8)),"N/A",IF(ABS(T8-R8)&gt;25,"&gt; 25%","ok"))</f>
        <v>N/A</v>
      </c>
      <c r="BF8" s="325"/>
      <c r="BG8" s="325" t="str">
        <f aca="true" t="shared" si="7" ref="BG8:BG13">IF(OR(ISBLANK(T8),ISBLANK(V8)),"N/A",IF(ABS(V8-T8)&gt;25,"&gt; 25%","ok"))</f>
        <v>N/A</v>
      </c>
      <c r="BH8" s="325"/>
      <c r="BI8" s="325" t="str">
        <f aca="true" t="shared" si="8" ref="BI8:BI13">IF(OR(ISBLANK(V8),ISBLANK(X8)),"N/A",IF(ABS(X8-V8)&gt;25,"&gt; 25%","ok"))</f>
        <v>N/A</v>
      </c>
      <c r="BJ8" s="325"/>
      <c r="BK8" s="325" t="str">
        <f aca="true" t="shared" si="9" ref="BK8:BK13">IF(OR(ISBLANK(X8),ISBLANK(Z8)),"N/A",IF(ABS(Z8-X8)&gt;25,"&gt; 25%","ok"))</f>
        <v>N/A</v>
      </c>
      <c r="BL8" s="325"/>
      <c r="BM8" s="325" t="str">
        <f aca="true" t="shared" si="10" ref="BM8:BM13">IF(OR(ISBLANK(Z8),ISBLANK(AB8)),"N/A",IF(ABS(AB8-Z8)&gt;25,"&gt; 25%","ok"))</f>
        <v>N/A</v>
      </c>
      <c r="BN8" s="325"/>
      <c r="BO8" s="325" t="str">
        <f aca="true" t="shared" si="11" ref="BO8:BO13">IF(OR(ISBLANK(AB8),ISBLANK(AD8)),"N/A",IF(ABS(AD8-AB8)&gt;25,"&gt; 25%","ok"))</f>
        <v>N/A</v>
      </c>
      <c r="BP8" s="325"/>
      <c r="BQ8" s="325" t="str">
        <f aca="true" t="shared" si="12" ref="BQ8:BQ13">IF(OR(ISBLANK(AD8),ISBLANK(AF8)),"N/A",IF(ABS(AF8-AD8)&gt;25,"&gt; 25%","ok"))</f>
        <v>N/A</v>
      </c>
      <c r="BR8" s="325"/>
      <c r="BS8" s="325" t="str">
        <f aca="true" t="shared" si="13" ref="BS8:BS13">IF(OR(ISBLANK(AF8),ISBLANK(AH8)),"N/A",IF(ABS(AH8-AF8)&gt;25,"&gt; 25%","ok"))</f>
        <v>N/A</v>
      </c>
      <c r="BT8" s="325"/>
      <c r="BU8" s="325" t="str">
        <f aca="true" t="shared" si="14" ref="BU8:BU13">IF(OR(ISBLANK(AH8),ISBLANK(AJ8)),"N/A",IF(ABS(AJ8-AH8)&gt;25,"&gt; 25%","ok"))</f>
        <v>N/A</v>
      </c>
      <c r="BV8" s="313"/>
    </row>
    <row r="9" spans="1:74" ht="28.5" customHeight="1">
      <c r="A9" s="424" t="s">
        <v>626</v>
      </c>
      <c r="B9" s="425">
        <v>164</v>
      </c>
      <c r="C9" s="26">
        <v>2</v>
      </c>
      <c r="D9" s="517" t="s">
        <v>17</v>
      </c>
      <c r="E9" s="70" t="s">
        <v>155</v>
      </c>
      <c r="F9" s="525"/>
      <c r="G9" s="526"/>
      <c r="H9" s="525"/>
      <c r="I9" s="526"/>
      <c r="J9" s="525"/>
      <c r="K9" s="526"/>
      <c r="L9" s="525"/>
      <c r="M9" s="526"/>
      <c r="N9" s="525"/>
      <c r="O9" s="526"/>
      <c r="P9" s="525"/>
      <c r="Q9" s="526"/>
      <c r="R9" s="525"/>
      <c r="S9" s="526"/>
      <c r="T9" s="525"/>
      <c r="U9" s="526"/>
      <c r="V9" s="525"/>
      <c r="W9" s="526"/>
      <c r="X9" s="525"/>
      <c r="Y9" s="526"/>
      <c r="Z9" s="525"/>
      <c r="AA9" s="526"/>
      <c r="AB9" s="525"/>
      <c r="AC9" s="526"/>
      <c r="AD9" s="525"/>
      <c r="AE9" s="526"/>
      <c r="AF9" s="525"/>
      <c r="AG9" s="526"/>
      <c r="AH9" s="525"/>
      <c r="AI9" s="526"/>
      <c r="AJ9" s="525"/>
      <c r="AK9" s="526"/>
      <c r="AN9" s="59">
        <v>2</v>
      </c>
      <c r="AO9" s="79" t="s">
        <v>532</v>
      </c>
      <c r="AP9" s="310" t="s">
        <v>155</v>
      </c>
      <c r="AQ9" s="312" t="s">
        <v>644</v>
      </c>
      <c r="AR9" s="313"/>
      <c r="AS9" s="325" t="str">
        <f t="shared" si="0"/>
        <v>N/A</v>
      </c>
      <c r="AT9" s="325"/>
      <c r="AU9" s="325" t="str">
        <f t="shared" si="1"/>
        <v>N/A</v>
      </c>
      <c r="AV9" s="325"/>
      <c r="AW9" s="325" t="str">
        <f t="shared" si="2"/>
        <v>N/A</v>
      </c>
      <c r="AX9" s="325"/>
      <c r="AY9" s="325" t="str">
        <f t="shared" si="3"/>
        <v>N/A</v>
      </c>
      <c r="AZ9" s="325"/>
      <c r="BA9" s="325" t="str">
        <f t="shared" si="4"/>
        <v>N/A</v>
      </c>
      <c r="BB9" s="325"/>
      <c r="BC9" s="325" t="str">
        <f t="shared" si="5"/>
        <v>N/A</v>
      </c>
      <c r="BD9" s="325"/>
      <c r="BE9" s="325" t="str">
        <f t="shared" si="6"/>
        <v>N/A</v>
      </c>
      <c r="BF9" s="325"/>
      <c r="BG9" s="325" t="str">
        <f t="shared" si="7"/>
        <v>N/A</v>
      </c>
      <c r="BH9" s="325"/>
      <c r="BI9" s="325" t="str">
        <f t="shared" si="8"/>
        <v>N/A</v>
      </c>
      <c r="BJ9" s="325"/>
      <c r="BK9" s="325" t="str">
        <f t="shared" si="9"/>
        <v>N/A</v>
      </c>
      <c r="BL9" s="325"/>
      <c r="BM9" s="325" t="str">
        <f t="shared" si="10"/>
        <v>N/A</v>
      </c>
      <c r="BN9" s="325"/>
      <c r="BO9" s="325" t="str">
        <f t="shared" si="11"/>
        <v>N/A</v>
      </c>
      <c r="BP9" s="325"/>
      <c r="BQ9" s="325" t="str">
        <f t="shared" si="12"/>
        <v>N/A</v>
      </c>
      <c r="BR9" s="325"/>
      <c r="BS9" s="325" t="str">
        <f t="shared" si="13"/>
        <v>N/A</v>
      </c>
      <c r="BT9" s="325"/>
      <c r="BU9" s="325" t="str">
        <f t="shared" si="14"/>
        <v>N/A</v>
      </c>
      <c r="BV9" s="313"/>
    </row>
    <row r="10" spans="2:74" ht="36" customHeight="1">
      <c r="B10" s="425">
        <v>296</v>
      </c>
      <c r="C10" s="70">
        <v>3</v>
      </c>
      <c r="D10" s="598" t="s">
        <v>127</v>
      </c>
      <c r="E10" s="70" t="s">
        <v>155</v>
      </c>
      <c r="F10" s="527"/>
      <c r="G10" s="528"/>
      <c r="H10" s="529"/>
      <c r="I10" s="528"/>
      <c r="J10" s="529"/>
      <c r="K10" s="528"/>
      <c r="L10" s="529"/>
      <c r="M10" s="528"/>
      <c r="N10" s="529"/>
      <c r="O10" s="528"/>
      <c r="P10" s="527"/>
      <c r="Q10" s="528"/>
      <c r="R10" s="527"/>
      <c r="S10" s="528"/>
      <c r="T10" s="527"/>
      <c r="U10" s="528"/>
      <c r="V10" s="527"/>
      <c r="W10" s="528"/>
      <c r="X10" s="527"/>
      <c r="Y10" s="528"/>
      <c r="Z10" s="527"/>
      <c r="AA10" s="528"/>
      <c r="AB10" s="529"/>
      <c r="AC10" s="528"/>
      <c r="AD10" s="527"/>
      <c r="AE10" s="528"/>
      <c r="AF10" s="527"/>
      <c r="AG10" s="528"/>
      <c r="AH10" s="527"/>
      <c r="AI10" s="528"/>
      <c r="AJ10" s="527"/>
      <c r="AK10" s="528"/>
      <c r="AN10" s="310">
        <v>3</v>
      </c>
      <c r="AO10" s="417" t="s">
        <v>520</v>
      </c>
      <c r="AP10" s="310" t="s">
        <v>155</v>
      </c>
      <c r="AQ10" s="142" t="s">
        <v>644</v>
      </c>
      <c r="AR10" s="192"/>
      <c r="AS10" s="325" t="str">
        <f t="shared" si="0"/>
        <v>N/A</v>
      </c>
      <c r="AT10" s="325"/>
      <c r="AU10" s="325" t="str">
        <f t="shared" si="1"/>
        <v>N/A</v>
      </c>
      <c r="AV10" s="325"/>
      <c r="AW10" s="325" t="str">
        <f t="shared" si="2"/>
        <v>N/A</v>
      </c>
      <c r="AX10" s="325"/>
      <c r="AY10" s="325" t="str">
        <f t="shared" si="3"/>
        <v>N/A</v>
      </c>
      <c r="AZ10" s="325"/>
      <c r="BA10" s="325" t="str">
        <f t="shared" si="4"/>
        <v>N/A</v>
      </c>
      <c r="BB10" s="325"/>
      <c r="BC10" s="325" t="str">
        <f t="shared" si="5"/>
        <v>N/A</v>
      </c>
      <c r="BD10" s="325"/>
      <c r="BE10" s="325" t="str">
        <f t="shared" si="6"/>
        <v>N/A</v>
      </c>
      <c r="BF10" s="325"/>
      <c r="BG10" s="325" t="str">
        <f t="shared" si="7"/>
        <v>N/A</v>
      </c>
      <c r="BH10" s="325"/>
      <c r="BI10" s="325" t="str">
        <f t="shared" si="8"/>
        <v>N/A</v>
      </c>
      <c r="BJ10" s="325"/>
      <c r="BK10" s="325" t="str">
        <f t="shared" si="9"/>
        <v>N/A</v>
      </c>
      <c r="BL10" s="325"/>
      <c r="BM10" s="325" t="str">
        <f t="shared" si="10"/>
        <v>N/A</v>
      </c>
      <c r="BN10" s="325"/>
      <c r="BO10" s="325" t="str">
        <f t="shared" si="11"/>
        <v>N/A</v>
      </c>
      <c r="BP10" s="325"/>
      <c r="BQ10" s="325" t="str">
        <f t="shared" si="12"/>
        <v>N/A</v>
      </c>
      <c r="BR10" s="325"/>
      <c r="BS10" s="325" t="str">
        <f t="shared" si="13"/>
        <v>N/A</v>
      </c>
      <c r="BT10" s="325"/>
      <c r="BU10" s="325" t="str">
        <f t="shared" si="14"/>
        <v>N/A</v>
      </c>
      <c r="BV10" s="192"/>
    </row>
    <row r="11" spans="2:74" ht="36" customHeight="1">
      <c r="B11" s="425">
        <v>165</v>
      </c>
      <c r="C11" s="26">
        <v>4</v>
      </c>
      <c r="D11" s="58" t="s">
        <v>128</v>
      </c>
      <c r="E11" s="70" t="s">
        <v>155</v>
      </c>
      <c r="F11" s="527"/>
      <c r="G11" s="528"/>
      <c r="H11" s="527"/>
      <c r="I11" s="528"/>
      <c r="J11" s="527"/>
      <c r="K11" s="528"/>
      <c r="L11" s="527"/>
      <c r="M11" s="528"/>
      <c r="N11" s="527"/>
      <c r="O11" s="528"/>
      <c r="P11" s="527"/>
      <c r="Q11" s="528"/>
      <c r="R11" s="527"/>
      <c r="S11" s="528"/>
      <c r="T11" s="527"/>
      <c r="U11" s="528"/>
      <c r="V11" s="527"/>
      <c r="W11" s="528"/>
      <c r="X11" s="527"/>
      <c r="Y11" s="528"/>
      <c r="Z11" s="527"/>
      <c r="AA11" s="528"/>
      <c r="AB11" s="527"/>
      <c r="AC11" s="528"/>
      <c r="AD11" s="527"/>
      <c r="AE11" s="528"/>
      <c r="AF11" s="527"/>
      <c r="AG11" s="528"/>
      <c r="AH11" s="527"/>
      <c r="AI11" s="528"/>
      <c r="AJ11" s="527"/>
      <c r="AK11" s="528"/>
      <c r="AN11" s="60">
        <v>4</v>
      </c>
      <c r="AO11" s="418" t="s">
        <v>527</v>
      </c>
      <c r="AP11" s="310" t="s">
        <v>155</v>
      </c>
      <c r="AQ11" s="142" t="s">
        <v>644</v>
      </c>
      <c r="AR11" s="192"/>
      <c r="AS11" s="325" t="str">
        <f t="shared" si="0"/>
        <v>N/A</v>
      </c>
      <c r="AT11" s="325"/>
      <c r="AU11" s="325" t="str">
        <f t="shared" si="1"/>
        <v>N/A</v>
      </c>
      <c r="AV11" s="325"/>
      <c r="AW11" s="325" t="str">
        <f t="shared" si="2"/>
        <v>N/A</v>
      </c>
      <c r="AX11" s="325"/>
      <c r="AY11" s="325" t="str">
        <f t="shared" si="3"/>
        <v>N/A</v>
      </c>
      <c r="AZ11" s="325"/>
      <c r="BA11" s="325" t="str">
        <f t="shared" si="4"/>
        <v>N/A</v>
      </c>
      <c r="BB11" s="325"/>
      <c r="BC11" s="325" t="str">
        <f t="shared" si="5"/>
        <v>N/A</v>
      </c>
      <c r="BD11" s="325"/>
      <c r="BE11" s="325" t="str">
        <f t="shared" si="6"/>
        <v>N/A</v>
      </c>
      <c r="BF11" s="325"/>
      <c r="BG11" s="325" t="str">
        <f t="shared" si="7"/>
        <v>N/A</v>
      </c>
      <c r="BH11" s="325"/>
      <c r="BI11" s="325" t="str">
        <f t="shared" si="8"/>
        <v>N/A</v>
      </c>
      <c r="BJ11" s="325"/>
      <c r="BK11" s="325" t="str">
        <f t="shared" si="9"/>
        <v>N/A</v>
      </c>
      <c r="BL11" s="325"/>
      <c r="BM11" s="325" t="str">
        <f t="shared" si="10"/>
        <v>N/A</v>
      </c>
      <c r="BN11" s="325"/>
      <c r="BO11" s="325" t="str">
        <f t="shared" si="11"/>
        <v>N/A</v>
      </c>
      <c r="BP11" s="325"/>
      <c r="BQ11" s="325" t="str">
        <f t="shared" si="12"/>
        <v>N/A</v>
      </c>
      <c r="BR11" s="325"/>
      <c r="BS11" s="325" t="str">
        <f t="shared" si="13"/>
        <v>N/A</v>
      </c>
      <c r="BT11" s="325"/>
      <c r="BU11" s="325" t="str">
        <f t="shared" si="14"/>
        <v>N/A</v>
      </c>
      <c r="BV11" s="192"/>
    </row>
    <row r="12" spans="2:74" ht="36" customHeight="1">
      <c r="B12" s="425">
        <v>297</v>
      </c>
      <c r="C12" s="70">
        <v>5</v>
      </c>
      <c r="D12" s="599" t="s">
        <v>127</v>
      </c>
      <c r="E12" s="70" t="s">
        <v>155</v>
      </c>
      <c r="F12" s="530"/>
      <c r="G12" s="531"/>
      <c r="H12" s="532"/>
      <c r="I12" s="531"/>
      <c r="J12" s="532"/>
      <c r="K12" s="531"/>
      <c r="L12" s="532"/>
      <c r="M12" s="531"/>
      <c r="N12" s="532"/>
      <c r="O12" s="531"/>
      <c r="P12" s="530"/>
      <c r="Q12" s="531"/>
      <c r="R12" s="530"/>
      <c r="S12" s="531"/>
      <c r="T12" s="530"/>
      <c r="U12" s="531"/>
      <c r="V12" s="530"/>
      <c r="W12" s="531"/>
      <c r="X12" s="530"/>
      <c r="Y12" s="531"/>
      <c r="Z12" s="530"/>
      <c r="AA12" s="531"/>
      <c r="AB12" s="532"/>
      <c r="AC12" s="531"/>
      <c r="AD12" s="530"/>
      <c r="AE12" s="531"/>
      <c r="AF12" s="530"/>
      <c r="AG12" s="531"/>
      <c r="AH12" s="530"/>
      <c r="AI12" s="531"/>
      <c r="AJ12" s="530"/>
      <c r="AK12" s="531"/>
      <c r="AN12" s="310">
        <v>5</v>
      </c>
      <c r="AO12" s="417" t="s">
        <v>506</v>
      </c>
      <c r="AP12" s="310" t="s">
        <v>155</v>
      </c>
      <c r="AQ12" s="143" t="s">
        <v>644</v>
      </c>
      <c r="AR12" s="193"/>
      <c r="AS12" s="325" t="str">
        <f t="shared" si="0"/>
        <v>N/A</v>
      </c>
      <c r="AT12" s="325"/>
      <c r="AU12" s="325" t="str">
        <f t="shared" si="1"/>
        <v>N/A</v>
      </c>
      <c r="AV12" s="325"/>
      <c r="AW12" s="325" t="str">
        <f t="shared" si="2"/>
        <v>N/A</v>
      </c>
      <c r="AX12" s="325"/>
      <c r="AY12" s="325" t="str">
        <f t="shared" si="3"/>
        <v>N/A</v>
      </c>
      <c r="AZ12" s="325"/>
      <c r="BA12" s="325" t="str">
        <f t="shared" si="4"/>
        <v>N/A</v>
      </c>
      <c r="BB12" s="325"/>
      <c r="BC12" s="325" t="str">
        <f t="shared" si="5"/>
        <v>N/A</v>
      </c>
      <c r="BD12" s="325"/>
      <c r="BE12" s="325" t="str">
        <f t="shared" si="6"/>
        <v>N/A</v>
      </c>
      <c r="BF12" s="325"/>
      <c r="BG12" s="325" t="str">
        <f t="shared" si="7"/>
        <v>N/A</v>
      </c>
      <c r="BH12" s="325"/>
      <c r="BI12" s="325" t="str">
        <f t="shared" si="8"/>
        <v>N/A</v>
      </c>
      <c r="BJ12" s="325"/>
      <c r="BK12" s="325" t="str">
        <f t="shared" si="9"/>
        <v>N/A</v>
      </c>
      <c r="BL12" s="325"/>
      <c r="BM12" s="325" t="str">
        <f t="shared" si="10"/>
        <v>N/A</v>
      </c>
      <c r="BN12" s="325"/>
      <c r="BO12" s="325" t="str">
        <f t="shared" si="11"/>
        <v>N/A</v>
      </c>
      <c r="BP12" s="325"/>
      <c r="BQ12" s="325" t="str">
        <f t="shared" si="12"/>
        <v>N/A</v>
      </c>
      <c r="BR12" s="325"/>
      <c r="BS12" s="325" t="str">
        <f t="shared" si="13"/>
        <v>N/A</v>
      </c>
      <c r="BT12" s="325"/>
      <c r="BU12" s="325" t="str">
        <f t="shared" si="14"/>
        <v>N/A</v>
      </c>
      <c r="BV12" s="193"/>
    </row>
    <row r="13" spans="2:74" ht="36" customHeight="1">
      <c r="B13" s="425">
        <v>298</v>
      </c>
      <c r="C13" s="67">
        <v>6</v>
      </c>
      <c r="D13" s="65" t="s">
        <v>129</v>
      </c>
      <c r="E13" s="67" t="s">
        <v>155</v>
      </c>
      <c r="F13" s="533"/>
      <c r="G13" s="534"/>
      <c r="H13" s="533"/>
      <c r="I13" s="534"/>
      <c r="J13" s="533"/>
      <c r="K13" s="534"/>
      <c r="L13" s="533"/>
      <c r="M13" s="534"/>
      <c r="N13" s="533"/>
      <c r="O13" s="534"/>
      <c r="P13" s="533"/>
      <c r="Q13" s="534"/>
      <c r="R13" s="533"/>
      <c r="S13" s="534"/>
      <c r="T13" s="533"/>
      <c r="U13" s="534"/>
      <c r="V13" s="533"/>
      <c r="W13" s="534"/>
      <c r="X13" s="533"/>
      <c r="Y13" s="534"/>
      <c r="Z13" s="533"/>
      <c r="AA13" s="534"/>
      <c r="AB13" s="533"/>
      <c r="AC13" s="534"/>
      <c r="AD13" s="533"/>
      <c r="AE13" s="534"/>
      <c r="AF13" s="533"/>
      <c r="AG13" s="534"/>
      <c r="AH13" s="533"/>
      <c r="AI13" s="534"/>
      <c r="AJ13" s="533"/>
      <c r="AK13" s="534"/>
      <c r="AN13" s="316">
        <v>6</v>
      </c>
      <c r="AO13" s="317" t="s">
        <v>625</v>
      </c>
      <c r="AP13" s="316" t="s">
        <v>155</v>
      </c>
      <c r="AQ13" s="318" t="s">
        <v>644</v>
      </c>
      <c r="AR13" s="319"/>
      <c r="AS13" s="326" t="str">
        <f t="shared" si="0"/>
        <v>N/A</v>
      </c>
      <c r="AT13" s="326"/>
      <c r="AU13" s="326" t="str">
        <f t="shared" si="1"/>
        <v>N/A</v>
      </c>
      <c r="AV13" s="326"/>
      <c r="AW13" s="326" t="str">
        <f t="shared" si="2"/>
        <v>N/A</v>
      </c>
      <c r="AX13" s="326"/>
      <c r="AY13" s="326" t="str">
        <f t="shared" si="3"/>
        <v>N/A</v>
      </c>
      <c r="AZ13" s="326"/>
      <c r="BA13" s="326" t="str">
        <f t="shared" si="4"/>
        <v>N/A</v>
      </c>
      <c r="BB13" s="326"/>
      <c r="BC13" s="326" t="str">
        <f t="shared" si="5"/>
        <v>N/A</v>
      </c>
      <c r="BD13" s="326"/>
      <c r="BE13" s="326" t="str">
        <f t="shared" si="6"/>
        <v>N/A</v>
      </c>
      <c r="BF13" s="326"/>
      <c r="BG13" s="326" t="str">
        <f t="shared" si="7"/>
        <v>N/A</v>
      </c>
      <c r="BH13" s="326"/>
      <c r="BI13" s="326" t="str">
        <f t="shared" si="8"/>
        <v>N/A</v>
      </c>
      <c r="BJ13" s="326"/>
      <c r="BK13" s="326" t="str">
        <f t="shared" si="9"/>
        <v>N/A</v>
      </c>
      <c r="BL13" s="326"/>
      <c r="BM13" s="326" t="str">
        <f t="shared" si="10"/>
        <v>N/A</v>
      </c>
      <c r="BN13" s="326"/>
      <c r="BO13" s="326" t="str">
        <f t="shared" si="11"/>
        <v>N/A</v>
      </c>
      <c r="BP13" s="326"/>
      <c r="BQ13" s="326" t="str">
        <f t="shared" si="12"/>
        <v>N/A</v>
      </c>
      <c r="BR13" s="326"/>
      <c r="BS13" s="326" t="str">
        <f t="shared" si="13"/>
        <v>N/A</v>
      </c>
      <c r="BT13" s="326"/>
      <c r="BU13" s="326" t="str">
        <f t="shared" si="14"/>
        <v>N/A</v>
      </c>
      <c r="BV13" s="319"/>
    </row>
    <row r="14" spans="3:34" ht="3.75" customHeight="1">
      <c r="C14" s="71"/>
      <c r="D14" s="38"/>
      <c r="E14" s="72"/>
      <c r="F14" s="38"/>
      <c r="G14" s="38"/>
      <c r="H14" s="38"/>
      <c r="I14" s="187"/>
      <c r="J14" s="157"/>
      <c r="K14" s="187"/>
      <c r="L14" s="157"/>
      <c r="M14" s="187"/>
      <c r="N14" s="157"/>
      <c r="O14" s="187"/>
      <c r="P14" s="157"/>
      <c r="Q14" s="187"/>
      <c r="R14" s="38"/>
      <c r="S14" s="187"/>
      <c r="T14" s="38"/>
      <c r="U14" s="187"/>
      <c r="V14" s="38"/>
      <c r="W14" s="187"/>
      <c r="X14" s="38"/>
      <c r="Y14" s="187"/>
      <c r="Z14" s="38"/>
      <c r="AA14" s="187"/>
      <c r="AB14" s="38"/>
      <c r="AC14" s="187"/>
      <c r="AD14" s="157"/>
      <c r="AE14" s="187"/>
      <c r="AF14" s="38"/>
      <c r="AG14" s="187"/>
      <c r="AH14" s="38"/>
    </row>
    <row r="15" spans="3:74" ht="24" customHeight="1">
      <c r="C15" s="3" t="s">
        <v>87</v>
      </c>
      <c r="D15" s="4"/>
      <c r="E15" s="20"/>
      <c r="F15" s="3"/>
      <c r="G15" s="3"/>
      <c r="AJ15" s="134"/>
      <c r="AN15" s="690" t="s">
        <v>81</v>
      </c>
      <c r="AO15" s="690"/>
      <c r="AP15" s="690"/>
      <c r="AQ15" s="690"/>
      <c r="AR15" s="690"/>
      <c r="AS15" s="690"/>
      <c r="AT15" s="690"/>
      <c r="AU15" s="690"/>
      <c r="AV15" s="690"/>
      <c r="AW15" s="690"/>
      <c r="AX15" s="690"/>
      <c r="AY15" s="690"/>
      <c r="AZ15" s="690"/>
      <c r="BA15" s="690"/>
      <c r="BB15" s="690"/>
      <c r="BC15" s="690"/>
      <c r="BD15" s="690"/>
      <c r="BE15" s="690"/>
      <c r="BF15" s="690"/>
      <c r="BG15" s="690"/>
      <c r="BH15" s="690"/>
      <c r="BI15" s="690"/>
      <c r="BJ15" s="690"/>
      <c r="BK15" s="690"/>
      <c r="BL15" s="690"/>
      <c r="BM15" s="690"/>
      <c r="BN15" s="690"/>
      <c r="BO15" s="690"/>
      <c r="BP15" s="690"/>
      <c r="BQ15" s="690"/>
      <c r="BR15" s="690"/>
      <c r="BS15" s="690"/>
      <c r="BT15" s="690"/>
      <c r="BU15" s="690"/>
      <c r="BV15" s="690"/>
    </row>
    <row r="16" spans="1:88" ht="25.5" customHeight="1">
      <c r="A16" s="400"/>
      <c r="B16" s="400"/>
      <c r="C16" s="266" t="s">
        <v>667</v>
      </c>
      <c r="D16" s="669" t="s">
        <v>47</v>
      </c>
      <c r="E16" s="669"/>
      <c r="F16" s="669"/>
      <c r="G16" s="669"/>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272"/>
      <c r="AN16" s="63" t="s">
        <v>157</v>
      </c>
      <c r="AO16" s="63" t="s">
        <v>164</v>
      </c>
      <c r="AP16" s="63" t="s">
        <v>166</v>
      </c>
      <c r="AQ16" s="136">
        <v>1990</v>
      </c>
      <c r="AR16" s="199"/>
      <c r="AS16" s="136">
        <v>1995</v>
      </c>
      <c r="AT16" s="199"/>
      <c r="AU16" s="136">
        <v>1996</v>
      </c>
      <c r="AV16" s="199"/>
      <c r="AW16" s="136">
        <v>1997</v>
      </c>
      <c r="AX16" s="199"/>
      <c r="AY16" s="136">
        <v>1998</v>
      </c>
      <c r="AZ16" s="199"/>
      <c r="BA16" s="136">
        <v>1999</v>
      </c>
      <c r="BB16" s="199"/>
      <c r="BC16" s="136">
        <v>2000</v>
      </c>
      <c r="BD16" s="199"/>
      <c r="BE16" s="136">
        <v>2001</v>
      </c>
      <c r="BF16" s="199"/>
      <c r="BG16" s="136">
        <v>2002</v>
      </c>
      <c r="BH16" s="199"/>
      <c r="BI16" s="136">
        <v>2003</v>
      </c>
      <c r="BJ16" s="199"/>
      <c r="BK16" s="136">
        <v>2004</v>
      </c>
      <c r="BL16" s="199"/>
      <c r="BM16" s="136">
        <v>2005</v>
      </c>
      <c r="BN16" s="199"/>
      <c r="BO16" s="136">
        <v>2006</v>
      </c>
      <c r="BP16" s="199"/>
      <c r="BQ16" s="136">
        <v>2007</v>
      </c>
      <c r="BR16" s="199"/>
      <c r="BS16" s="136">
        <v>2008</v>
      </c>
      <c r="BT16" s="199"/>
      <c r="BU16" s="136">
        <v>2009</v>
      </c>
      <c r="BV16" s="199"/>
      <c r="BW16" s="14"/>
      <c r="BX16" s="14"/>
      <c r="BY16" s="14"/>
      <c r="BZ16" s="14"/>
      <c r="CA16" s="14"/>
      <c r="CB16" s="14"/>
      <c r="CC16" s="14"/>
      <c r="CD16" s="14"/>
      <c r="CE16" s="14"/>
      <c r="CF16" s="14"/>
      <c r="CG16" s="14"/>
      <c r="CH16" s="14"/>
      <c r="CI16" s="14"/>
      <c r="CJ16" s="14"/>
    </row>
    <row r="17" spans="1:88" ht="25.5" customHeight="1">
      <c r="A17" s="400"/>
      <c r="B17" s="400"/>
      <c r="C17" s="266" t="s">
        <v>667</v>
      </c>
      <c r="D17" s="669" t="s">
        <v>48</v>
      </c>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272"/>
      <c r="AN17" s="379">
        <v>1</v>
      </c>
      <c r="AO17" s="416" t="s">
        <v>531</v>
      </c>
      <c r="AP17" s="310" t="s">
        <v>155</v>
      </c>
      <c r="AQ17" s="457">
        <f>F8</f>
        <v>0</v>
      </c>
      <c r="AR17" s="457"/>
      <c r="AS17" s="457">
        <f aca="true" t="shared" si="15" ref="AS17:BU17">H8</f>
        <v>0</v>
      </c>
      <c r="AT17" s="457"/>
      <c r="AU17" s="457">
        <f t="shared" si="15"/>
        <v>0</v>
      </c>
      <c r="AV17" s="457"/>
      <c r="AW17" s="457">
        <f t="shared" si="15"/>
        <v>0</v>
      </c>
      <c r="AX17" s="457"/>
      <c r="AY17" s="457">
        <f t="shared" si="15"/>
        <v>0</v>
      </c>
      <c r="AZ17" s="457"/>
      <c r="BA17" s="457">
        <f t="shared" si="15"/>
        <v>0</v>
      </c>
      <c r="BB17" s="457"/>
      <c r="BC17" s="457">
        <f t="shared" si="15"/>
        <v>0</v>
      </c>
      <c r="BD17" s="457"/>
      <c r="BE17" s="457">
        <f t="shared" si="15"/>
        <v>0</v>
      </c>
      <c r="BF17" s="457"/>
      <c r="BG17" s="457">
        <f t="shared" si="15"/>
        <v>0</v>
      </c>
      <c r="BH17" s="457"/>
      <c r="BI17" s="457">
        <f t="shared" si="15"/>
        <v>0</v>
      </c>
      <c r="BJ17" s="457"/>
      <c r="BK17" s="457">
        <f t="shared" si="15"/>
        <v>0</v>
      </c>
      <c r="BL17" s="457"/>
      <c r="BM17" s="457">
        <f t="shared" si="15"/>
        <v>0</v>
      </c>
      <c r="BN17" s="457"/>
      <c r="BO17" s="457">
        <f t="shared" si="15"/>
        <v>0</v>
      </c>
      <c r="BP17" s="457"/>
      <c r="BQ17" s="457">
        <f t="shared" si="15"/>
        <v>0</v>
      </c>
      <c r="BR17" s="457"/>
      <c r="BS17" s="457">
        <f t="shared" si="15"/>
        <v>0</v>
      </c>
      <c r="BT17" s="457"/>
      <c r="BU17" s="457">
        <f t="shared" si="15"/>
        <v>0</v>
      </c>
      <c r="BV17" s="313"/>
      <c r="BW17" s="14"/>
      <c r="BX17" s="14"/>
      <c r="BY17" s="14"/>
      <c r="BZ17" s="14"/>
      <c r="CA17" s="14"/>
      <c r="CB17" s="14"/>
      <c r="CC17" s="14"/>
      <c r="CD17" s="14"/>
      <c r="CE17" s="14"/>
      <c r="CF17" s="14"/>
      <c r="CG17" s="14"/>
      <c r="CH17" s="14"/>
      <c r="CI17" s="14"/>
      <c r="CJ17" s="14"/>
    </row>
    <row r="18" spans="1:88" ht="19.5" customHeight="1">
      <c r="A18" s="400"/>
      <c r="B18" s="400"/>
      <c r="C18" s="266" t="s">
        <v>667</v>
      </c>
      <c r="D18" s="669" t="s">
        <v>49</v>
      </c>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272"/>
      <c r="AN18" s="59">
        <v>2</v>
      </c>
      <c r="AO18" s="79" t="s">
        <v>532</v>
      </c>
      <c r="AP18" s="310" t="s">
        <v>155</v>
      </c>
      <c r="AQ18" s="457">
        <f>F9</f>
        <v>0</v>
      </c>
      <c r="AR18" s="457"/>
      <c r="AS18" s="457">
        <f aca="true" t="shared" si="16" ref="AS18:BU18">H9</f>
        <v>0</v>
      </c>
      <c r="AT18" s="457"/>
      <c r="AU18" s="457">
        <f t="shared" si="16"/>
        <v>0</v>
      </c>
      <c r="AV18" s="457"/>
      <c r="AW18" s="457">
        <f t="shared" si="16"/>
        <v>0</v>
      </c>
      <c r="AX18" s="457"/>
      <c r="AY18" s="457">
        <f t="shared" si="16"/>
        <v>0</v>
      </c>
      <c r="AZ18" s="457"/>
      <c r="BA18" s="457">
        <f t="shared" si="16"/>
        <v>0</v>
      </c>
      <c r="BB18" s="457"/>
      <c r="BC18" s="457">
        <f t="shared" si="16"/>
        <v>0</v>
      </c>
      <c r="BD18" s="457"/>
      <c r="BE18" s="457">
        <f t="shared" si="16"/>
        <v>0</v>
      </c>
      <c r="BF18" s="457"/>
      <c r="BG18" s="457">
        <f t="shared" si="16"/>
        <v>0</v>
      </c>
      <c r="BH18" s="457"/>
      <c r="BI18" s="457">
        <f t="shared" si="16"/>
        <v>0</v>
      </c>
      <c r="BJ18" s="457"/>
      <c r="BK18" s="457">
        <f t="shared" si="16"/>
        <v>0</v>
      </c>
      <c r="BL18" s="457"/>
      <c r="BM18" s="457">
        <f t="shared" si="16"/>
        <v>0</v>
      </c>
      <c r="BN18" s="457"/>
      <c r="BO18" s="457">
        <f t="shared" si="16"/>
        <v>0</v>
      </c>
      <c r="BP18" s="457"/>
      <c r="BQ18" s="457">
        <f t="shared" si="16"/>
        <v>0</v>
      </c>
      <c r="BR18" s="457"/>
      <c r="BS18" s="457">
        <f t="shared" si="16"/>
        <v>0</v>
      </c>
      <c r="BT18" s="457"/>
      <c r="BU18" s="457">
        <f t="shared" si="16"/>
        <v>0</v>
      </c>
      <c r="BV18" s="313"/>
      <c r="BW18" s="14"/>
      <c r="BX18" s="14"/>
      <c r="BY18" s="14"/>
      <c r="BZ18" s="14"/>
      <c r="CA18" s="14"/>
      <c r="CB18" s="14"/>
      <c r="CC18" s="14"/>
      <c r="CD18" s="14"/>
      <c r="CE18" s="14"/>
      <c r="CF18" s="14"/>
      <c r="CG18" s="14"/>
      <c r="CH18" s="14"/>
      <c r="CI18" s="14"/>
      <c r="CJ18" s="14"/>
    </row>
    <row r="19" spans="1:74" s="24" customFormat="1" ht="16.5" customHeight="1">
      <c r="A19" s="424"/>
      <c r="B19" s="398"/>
      <c r="C19" s="278"/>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N19" s="468" t="s">
        <v>677</v>
      </c>
      <c r="AO19" s="467" t="s">
        <v>596</v>
      </c>
      <c r="AP19" s="310"/>
      <c r="AQ19" s="457" t="str">
        <f>IF(OR(ISBLANK(F8),ISBLANK(F9)),"N/A",IF(AQ17&gt;=AQ18,"ok","&lt;&gt;"))</f>
        <v>N/A</v>
      </c>
      <c r="AR19" s="457"/>
      <c r="AS19" s="457" t="str">
        <f aca="true" t="shared" si="17" ref="AS19:BU19">IF(OR(ISBLANK(H8),ISBLANK(H9)),"N/A",IF(AS17&gt;=AS18,"ok","&lt;&gt;"))</f>
        <v>N/A</v>
      </c>
      <c r="AT19" s="457"/>
      <c r="AU19" s="457" t="str">
        <f t="shared" si="17"/>
        <v>N/A</v>
      </c>
      <c r="AV19" s="457"/>
      <c r="AW19" s="457" t="str">
        <f t="shared" si="17"/>
        <v>N/A</v>
      </c>
      <c r="AX19" s="457"/>
      <c r="AY19" s="457" t="str">
        <f t="shared" si="17"/>
        <v>N/A</v>
      </c>
      <c r="AZ19" s="457"/>
      <c r="BA19" s="457" t="str">
        <f t="shared" si="17"/>
        <v>N/A</v>
      </c>
      <c r="BB19" s="457"/>
      <c r="BC19" s="457" t="str">
        <f t="shared" si="17"/>
        <v>N/A</v>
      </c>
      <c r="BD19" s="457"/>
      <c r="BE19" s="457" t="str">
        <f t="shared" si="17"/>
        <v>N/A</v>
      </c>
      <c r="BF19" s="457"/>
      <c r="BG19" s="457" t="str">
        <f t="shared" si="17"/>
        <v>N/A</v>
      </c>
      <c r="BH19" s="457"/>
      <c r="BI19" s="457" t="str">
        <f t="shared" si="17"/>
        <v>N/A</v>
      </c>
      <c r="BJ19" s="457"/>
      <c r="BK19" s="457" t="str">
        <f t="shared" si="17"/>
        <v>N/A</v>
      </c>
      <c r="BL19" s="457"/>
      <c r="BM19" s="457" t="str">
        <f t="shared" si="17"/>
        <v>N/A</v>
      </c>
      <c r="BN19" s="457"/>
      <c r="BO19" s="457" t="str">
        <f t="shared" si="17"/>
        <v>N/A</v>
      </c>
      <c r="BP19" s="457"/>
      <c r="BQ19" s="457" t="str">
        <f t="shared" si="17"/>
        <v>N/A</v>
      </c>
      <c r="BR19" s="457"/>
      <c r="BS19" s="457" t="str">
        <f t="shared" si="17"/>
        <v>N/A</v>
      </c>
      <c r="BT19" s="457"/>
      <c r="BU19" s="457" t="str">
        <f t="shared" si="17"/>
        <v>N/A</v>
      </c>
      <c r="BV19" s="313"/>
    </row>
    <row r="20" spans="1:74" s="50" customFormat="1" ht="15.75">
      <c r="A20" s="401"/>
      <c r="B20" s="406">
        <v>2</v>
      </c>
      <c r="C20" s="119" t="s">
        <v>50</v>
      </c>
      <c r="D20" s="121"/>
      <c r="E20" s="119"/>
      <c r="F20" s="117"/>
      <c r="G20" s="162"/>
      <c r="H20" s="182"/>
      <c r="I20" s="166"/>
      <c r="J20" s="182"/>
      <c r="K20" s="166"/>
      <c r="L20" s="182"/>
      <c r="M20" s="166"/>
      <c r="N20" s="182"/>
      <c r="O20" s="166"/>
      <c r="P20" s="182"/>
      <c r="Q20" s="162"/>
      <c r="R20" s="182"/>
      <c r="S20" s="162"/>
      <c r="T20" s="182"/>
      <c r="U20" s="162"/>
      <c r="V20" s="182"/>
      <c r="W20" s="162"/>
      <c r="X20" s="182"/>
      <c r="Y20" s="162"/>
      <c r="Z20" s="189"/>
      <c r="AA20" s="162"/>
      <c r="AB20" s="182"/>
      <c r="AC20" s="166"/>
      <c r="AD20" s="182"/>
      <c r="AE20" s="162"/>
      <c r="AF20" s="182"/>
      <c r="AG20" s="162"/>
      <c r="AH20" s="182"/>
      <c r="AI20" s="234"/>
      <c r="AJ20" s="194"/>
      <c r="AK20" s="557"/>
      <c r="AL20" s="557"/>
      <c r="AN20" s="310">
        <v>3</v>
      </c>
      <c r="AO20" s="417" t="s">
        <v>520</v>
      </c>
      <c r="AP20" s="310" t="s">
        <v>155</v>
      </c>
      <c r="AQ20" s="457">
        <f>F10</f>
        <v>0</v>
      </c>
      <c r="AR20" s="457"/>
      <c r="AS20" s="457">
        <f aca="true" t="shared" si="18" ref="AS20:BU20">H10</f>
        <v>0</v>
      </c>
      <c r="AT20" s="457"/>
      <c r="AU20" s="457">
        <f t="shared" si="18"/>
        <v>0</v>
      </c>
      <c r="AV20" s="457"/>
      <c r="AW20" s="457">
        <f t="shared" si="18"/>
        <v>0</v>
      </c>
      <c r="AX20" s="457"/>
      <c r="AY20" s="457">
        <f t="shared" si="18"/>
        <v>0</v>
      </c>
      <c r="AZ20" s="457"/>
      <c r="BA20" s="457">
        <f t="shared" si="18"/>
        <v>0</v>
      </c>
      <c r="BB20" s="457"/>
      <c r="BC20" s="457">
        <f t="shared" si="18"/>
        <v>0</v>
      </c>
      <c r="BD20" s="457"/>
      <c r="BE20" s="457">
        <f t="shared" si="18"/>
        <v>0</v>
      </c>
      <c r="BF20" s="457"/>
      <c r="BG20" s="457">
        <f t="shared" si="18"/>
        <v>0</v>
      </c>
      <c r="BH20" s="457"/>
      <c r="BI20" s="457">
        <f t="shared" si="18"/>
        <v>0</v>
      </c>
      <c r="BJ20" s="457"/>
      <c r="BK20" s="457">
        <f t="shared" si="18"/>
        <v>0</v>
      </c>
      <c r="BL20" s="457"/>
      <c r="BM20" s="457">
        <f t="shared" si="18"/>
        <v>0</v>
      </c>
      <c r="BN20" s="457"/>
      <c r="BO20" s="457">
        <f t="shared" si="18"/>
        <v>0</v>
      </c>
      <c r="BP20" s="457"/>
      <c r="BQ20" s="457">
        <f t="shared" si="18"/>
        <v>0</v>
      </c>
      <c r="BR20" s="457"/>
      <c r="BS20" s="457">
        <f t="shared" si="18"/>
        <v>0</v>
      </c>
      <c r="BT20" s="457"/>
      <c r="BU20" s="457">
        <f t="shared" si="18"/>
        <v>0</v>
      </c>
      <c r="BV20" s="313"/>
    </row>
    <row r="21" spans="3:74" ht="2.25" customHeight="1">
      <c r="C21" s="45"/>
      <c r="D21" s="45"/>
      <c r="E21" s="46"/>
      <c r="F21" s="13"/>
      <c r="G21" s="169"/>
      <c r="H21" s="188"/>
      <c r="I21" s="171"/>
      <c r="J21" s="188"/>
      <c r="K21" s="171"/>
      <c r="L21" s="188"/>
      <c r="M21" s="171"/>
      <c r="N21" s="188"/>
      <c r="O21" s="171"/>
      <c r="P21" s="188"/>
      <c r="Q21" s="169"/>
      <c r="R21" s="188"/>
      <c r="S21" s="169"/>
      <c r="T21" s="188"/>
      <c r="U21" s="169"/>
      <c r="V21" s="188"/>
      <c r="W21" s="169"/>
      <c r="X21" s="188"/>
      <c r="Y21" s="169"/>
      <c r="Z21" s="190"/>
      <c r="AA21" s="169"/>
      <c r="AB21" s="188"/>
      <c r="AC21" s="171"/>
      <c r="AD21" s="188"/>
      <c r="AE21" s="169"/>
      <c r="AF21" s="183"/>
      <c r="AG21" s="163"/>
      <c r="AH21" s="183"/>
      <c r="AI21" s="161"/>
      <c r="AJ21" s="177"/>
      <c r="AK21" s="80"/>
      <c r="AL21" s="80"/>
      <c r="AN21" s="59"/>
      <c r="AO21" s="485"/>
      <c r="AP21" s="310"/>
      <c r="AQ21" s="312"/>
      <c r="AR21" s="313"/>
      <c r="AS21" s="370"/>
      <c r="AT21" s="313"/>
      <c r="AU21" s="370"/>
      <c r="AV21" s="313"/>
      <c r="AW21" s="370"/>
      <c r="AX21" s="313"/>
      <c r="AY21" s="370"/>
      <c r="AZ21" s="313"/>
      <c r="BA21" s="312"/>
      <c r="BB21" s="313"/>
      <c r="BC21" s="312"/>
      <c r="BD21" s="313"/>
      <c r="BE21" s="312"/>
      <c r="BF21" s="313"/>
      <c r="BG21" s="312"/>
      <c r="BH21" s="313"/>
      <c r="BI21" s="312"/>
      <c r="BJ21" s="313"/>
      <c r="BK21" s="312"/>
      <c r="BL21" s="313"/>
      <c r="BM21" s="370"/>
      <c r="BN21" s="313"/>
      <c r="BO21" s="312"/>
      <c r="BP21" s="313"/>
      <c r="BQ21" s="312"/>
      <c r="BR21" s="313"/>
      <c r="BS21" s="312"/>
      <c r="BT21" s="313"/>
      <c r="BU21" s="312"/>
      <c r="BV21" s="313"/>
    </row>
    <row r="22" spans="3:74" ht="18" customHeight="1">
      <c r="C22" s="73" t="s">
        <v>168</v>
      </c>
      <c r="D22" s="686" t="s">
        <v>51</v>
      </c>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7"/>
      <c r="AL22" s="688"/>
      <c r="AN22" s="468" t="s">
        <v>677</v>
      </c>
      <c r="AO22" s="467" t="s">
        <v>595</v>
      </c>
      <c r="AP22" s="310"/>
      <c r="AQ22" s="457" t="str">
        <f>IF(OR(ISBLANK(F10),ISBLANK(F9)),"N/A",IF(AQ18&gt;=AQ20,"ok","&lt;&gt;"))</f>
        <v>N/A</v>
      </c>
      <c r="AR22" s="457"/>
      <c r="AS22" s="457" t="str">
        <f aca="true" t="shared" si="19" ref="AS22:BU22">IF(OR(ISBLANK(H10),ISBLANK(H9)),"N/A",IF(AS18&gt;=AS20,"ok","&lt;&gt;"))</f>
        <v>N/A</v>
      </c>
      <c r="AT22" s="457"/>
      <c r="AU22" s="457" t="str">
        <f t="shared" si="19"/>
        <v>N/A</v>
      </c>
      <c r="AV22" s="457"/>
      <c r="AW22" s="457" t="str">
        <f t="shared" si="19"/>
        <v>N/A</v>
      </c>
      <c r="AX22" s="457"/>
      <c r="AY22" s="457" t="str">
        <f t="shared" si="19"/>
        <v>N/A</v>
      </c>
      <c r="AZ22" s="457"/>
      <c r="BA22" s="457" t="str">
        <f t="shared" si="19"/>
        <v>N/A</v>
      </c>
      <c r="BB22" s="457"/>
      <c r="BC22" s="457" t="str">
        <f t="shared" si="19"/>
        <v>N/A</v>
      </c>
      <c r="BD22" s="457"/>
      <c r="BE22" s="457" t="str">
        <f t="shared" si="19"/>
        <v>N/A</v>
      </c>
      <c r="BF22" s="457"/>
      <c r="BG22" s="457" t="str">
        <f t="shared" si="19"/>
        <v>N/A</v>
      </c>
      <c r="BH22" s="457"/>
      <c r="BI22" s="457" t="str">
        <f t="shared" si="19"/>
        <v>N/A</v>
      </c>
      <c r="BJ22" s="457"/>
      <c r="BK22" s="457" t="str">
        <f t="shared" si="19"/>
        <v>N/A</v>
      </c>
      <c r="BL22" s="457"/>
      <c r="BM22" s="457" t="str">
        <f t="shared" si="19"/>
        <v>N/A</v>
      </c>
      <c r="BN22" s="457"/>
      <c r="BO22" s="457" t="str">
        <f t="shared" si="19"/>
        <v>N/A</v>
      </c>
      <c r="BP22" s="457"/>
      <c r="BQ22" s="457" t="str">
        <f t="shared" si="19"/>
        <v>N/A</v>
      </c>
      <c r="BR22" s="457"/>
      <c r="BS22" s="457" t="str">
        <f t="shared" si="19"/>
        <v>N/A</v>
      </c>
      <c r="BT22" s="457"/>
      <c r="BU22" s="457" t="str">
        <f t="shared" si="19"/>
        <v>N/A</v>
      </c>
      <c r="BV22" s="313"/>
    </row>
    <row r="23" spans="3:74" ht="18" customHeight="1">
      <c r="C23" s="522"/>
      <c r="D23" s="701"/>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3"/>
      <c r="AN23" s="60">
        <v>4</v>
      </c>
      <c r="AO23" s="418" t="s">
        <v>527</v>
      </c>
      <c r="AP23" s="310" t="s">
        <v>155</v>
      </c>
      <c r="AQ23" s="457">
        <f>F11</f>
        <v>0</v>
      </c>
      <c r="AR23" s="457"/>
      <c r="AS23" s="457">
        <f aca="true" t="shared" si="20" ref="AS23:BU23">H11</f>
        <v>0</v>
      </c>
      <c r="AT23" s="457"/>
      <c r="AU23" s="457">
        <f t="shared" si="20"/>
        <v>0</v>
      </c>
      <c r="AV23" s="457"/>
      <c r="AW23" s="457">
        <f t="shared" si="20"/>
        <v>0</v>
      </c>
      <c r="AX23" s="457"/>
      <c r="AY23" s="457">
        <f t="shared" si="20"/>
        <v>0</v>
      </c>
      <c r="AZ23" s="457"/>
      <c r="BA23" s="457">
        <f t="shared" si="20"/>
        <v>0</v>
      </c>
      <c r="BB23" s="457"/>
      <c r="BC23" s="457">
        <f t="shared" si="20"/>
        <v>0</v>
      </c>
      <c r="BD23" s="457"/>
      <c r="BE23" s="457">
        <f t="shared" si="20"/>
        <v>0</v>
      </c>
      <c r="BF23" s="457"/>
      <c r="BG23" s="457">
        <f t="shared" si="20"/>
        <v>0</v>
      </c>
      <c r="BH23" s="457"/>
      <c r="BI23" s="457">
        <f t="shared" si="20"/>
        <v>0</v>
      </c>
      <c r="BJ23" s="457"/>
      <c r="BK23" s="457">
        <f t="shared" si="20"/>
        <v>0</v>
      </c>
      <c r="BL23" s="457"/>
      <c r="BM23" s="457">
        <f t="shared" si="20"/>
        <v>0</v>
      </c>
      <c r="BN23" s="457"/>
      <c r="BO23" s="457">
        <f t="shared" si="20"/>
        <v>0</v>
      </c>
      <c r="BP23" s="457"/>
      <c r="BQ23" s="457">
        <f t="shared" si="20"/>
        <v>0</v>
      </c>
      <c r="BR23" s="457"/>
      <c r="BS23" s="457">
        <f t="shared" si="20"/>
        <v>0</v>
      </c>
      <c r="BT23" s="457"/>
      <c r="BU23" s="457">
        <f t="shared" si="20"/>
        <v>0</v>
      </c>
      <c r="BV23" s="313"/>
    </row>
    <row r="24" spans="3:74" ht="18" customHeight="1">
      <c r="C24" s="522"/>
      <c r="D24" s="691"/>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9"/>
      <c r="AN24" s="310">
        <v>5</v>
      </c>
      <c r="AO24" s="417" t="s">
        <v>506</v>
      </c>
      <c r="AP24" s="310" t="s">
        <v>155</v>
      </c>
      <c r="AQ24" s="457">
        <f>F12</f>
        <v>0</v>
      </c>
      <c r="AR24" s="457"/>
      <c r="AS24" s="457">
        <f aca="true" t="shared" si="21" ref="AS24:BU24">H12</f>
        <v>0</v>
      </c>
      <c r="AT24" s="457"/>
      <c r="AU24" s="457">
        <f t="shared" si="21"/>
        <v>0</v>
      </c>
      <c r="AV24" s="457"/>
      <c r="AW24" s="457">
        <f t="shared" si="21"/>
        <v>0</v>
      </c>
      <c r="AX24" s="457"/>
      <c r="AY24" s="457">
        <f t="shared" si="21"/>
        <v>0</v>
      </c>
      <c r="AZ24" s="457"/>
      <c r="BA24" s="457">
        <f t="shared" si="21"/>
        <v>0</v>
      </c>
      <c r="BB24" s="457"/>
      <c r="BC24" s="457">
        <f t="shared" si="21"/>
        <v>0</v>
      </c>
      <c r="BD24" s="457"/>
      <c r="BE24" s="457">
        <f t="shared" si="21"/>
        <v>0</v>
      </c>
      <c r="BF24" s="457"/>
      <c r="BG24" s="457">
        <f t="shared" si="21"/>
        <v>0</v>
      </c>
      <c r="BH24" s="457"/>
      <c r="BI24" s="457">
        <f t="shared" si="21"/>
        <v>0</v>
      </c>
      <c r="BJ24" s="457"/>
      <c r="BK24" s="457">
        <f t="shared" si="21"/>
        <v>0</v>
      </c>
      <c r="BL24" s="457"/>
      <c r="BM24" s="457">
        <f t="shared" si="21"/>
        <v>0</v>
      </c>
      <c r="BN24" s="457"/>
      <c r="BO24" s="457">
        <f t="shared" si="21"/>
        <v>0</v>
      </c>
      <c r="BP24" s="457"/>
      <c r="BQ24" s="457">
        <f t="shared" si="21"/>
        <v>0</v>
      </c>
      <c r="BR24" s="457"/>
      <c r="BS24" s="457">
        <f t="shared" si="21"/>
        <v>0</v>
      </c>
      <c r="BT24" s="457"/>
      <c r="BU24" s="457">
        <f t="shared" si="21"/>
        <v>0</v>
      </c>
      <c r="BV24" s="313"/>
    </row>
    <row r="25" spans="3:74" ht="18" customHeight="1">
      <c r="C25" s="522"/>
      <c r="D25" s="691"/>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9"/>
      <c r="AN25" s="468" t="s">
        <v>677</v>
      </c>
      <c r="AO25" s="467" t="s">
        <v>594</v>
      </c>
      <c r="AP25" s="310"/>
      <c r="AQ25" s="457" t="str">
        <f>IF(OR(ISBLANK(F11),ISBLANK(F12)),"N/A",IF(AQ23&gt;=AQ24,"ok","&lt;&gt;"))</f>
        <v>N/A</v>
      </c>
      <c r="AR25" s="457"/>
      <c r="AS25" s="457" t="str">
        <f aca="true" t="shared" si="22" ref="AS25:BU25">IF(OR(ISBLANK(H11),ISBLANK(H12)),"N/A",IF(AS23&gt;=AS24,"ok","&lt;&gt;"))</f>
        <v>N/A</v>
      </c>
      <c r="AT25" s="457"/>
      <c r="AU25" s="457" t="str">
        <f t="shared" si="22"/>
        <v>N/A</v>
      </c>
      <c r="AV25" s="457"/>
      <c r="AW25" s="457" t="str">
        <f t="shared" si="22"/>
        <v>N/A</v>
      </c>
      <c r="AX25" s="457"/>
      <c r="AY25" s="457" t="str">
        <f t="shared" si="22"/>
        <v>N/A</v>
      </c>
      <c r="AZ25" s="457"/>
      <c r="BA25" s="457" t="str">
        <f t="shared" si="22"/>
        <v>N/A</v>
      </c>
      <c r="BB25" s="457"/>
      <c r="BC25" s="457" t="str">
        <f t="shared" si="22"/>
        <v>N/A</v>
      </c>
      <c r="BD25" s="457"/>
      <c r="BE25" s="457" t="str">
        <f t="shared" si="22"/>
        <v>N/A</v>
      </c>
      <c r="BF25" s="457"/>
      <c r="BG25" s="457" t="str">
        <f t="shared" si="22"/>
        <v>N/A</v>
      </c>
      <c r="BH25" s="457"/>
      <c r="BI25" s="457" t="str">
        <f t="shared" si="22"/>
        <v>N/A</v>
      </c>
      <c r="BJ25" s="457"/>
      <c r="BK25" s="457" t="str">
        <f t="shared" si="22"/>
        <v>N/A</v>
      </c>
      <c r="BL25" s="457"/>
      <c r="BM25" s="457" t="str">
        <f t="shared" si="22"/>
        <v>N/A</v>
      </c>
      <c r="BN25" s="457"/>
      <c r="BO25" s="457" t="str">
        <f t="shared" si="22"/>
        <v>N/A</v>
      </c>
      <c r="BP25" s="457"/>
      <c r="BQ25" s="457" t="str">
        <f t="shared" si="22"/>
        <v>N/A</v>
      </c>
      <c r="BR25" s="457"/>
      <c r="BS25" s="457" t="str">
        <f t="shared" si="22"/>
        <v>N/A</v>
      </c>
      <c r="BT25" s="457"/>
      <c r="BU25" s="457" t="str">
        <f t="shared" si="22"/>
        <v>N/A</v>
      </c>
      <c r="BV25" s="313"/>
    </row>
    <row r="26" spans="3:74" ht="18" customHeight="1">
      <c r="C26" s="522"/>
      <c r="D26" s="691"/>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9"/>
      <c r="AN26" s="60">
        <v>6</v>
      </c>
      <c r="AO26" s="314" t="s">
        <v>625</v>
      </c>
      <c r="AP26" s="60" t="s">
        <v>155</v>
      </c>
      <c r="AQ26" s="457">
        <f>F13</f>
        <v>0</v>
      </c>
      <c r="AR26" s="457"/>
      <c r="AS26" s="457">
        <f aca="true" t="shared" si="23" ref="AS26:BU26">H13</f>
        <v>0</v>
      </c>
      <c r="AT26" s="457"/>
      <c r="AU26" s="457">
        <f t="shared" si="23"/>
        <v>0</v>
      </c>
      <c r="AV26" s="457"/>
      <c r="AW26" s="457">
        <f t="shared" si="23"/>
        <v>0</v>
      </c>
      <c r="AX26" s="457"/>
      <c r="AY26" s="457">
        <f t="shared" si="23"/>
        <v>0</v>
      </c>
      <c r="AZ26" s="457"/>
      <c r="BA26" s="457">
        <f t="shared" si="23"/>
        <v>0</v>
      </c>
      <c r="BB26" s="457"/>
      <c r="BC26" s="457">
        <f t="shared" si="23"/>
        <v>0</v>
      </c>
      <c r="BD26" s="457"/>
      <c r="BE26" s="457">
        <f t="shared" si="23"/>
        <v>0</v>
      </c>
      <c r="BF26" s="457"/>
      <c r="BG26" s="457">
        <f t="shared" si="23"/>
        <v>0</v>
      </c>
      <c r="BH26" s="457"/>
      <c r="BI26" s="457">
        <f t="shared" si="23"/>
        <v>0</v>
      </c>
      <c r="BJ26" s="457"/>
      <c r="BK26" s="457">
        <f t="shared" si="23"/>
        <v>0</v>
      </c>
      <c r="BL26" s="457"/>
      <c r="BM26" s="457">
        <f t="shared" si="23"/>
        <v>0</v>
      </c>
      <c r="BN26" s="457"/>
      <c r="BO26" s="457">
        <f t="shared" si="23"/>
        <v>0</v>
      </c>
      <c r="BP26" s="457"/>
      <c r="BQ26" s="457">
        <f t="shared" si="23"/>
        <v>0</v>
      </c>
      <c r="BR26" s="457"/>
      <c r="BS26" s="457">
        <f t="shared" si="23"/>
        <v>0</v>
      </c>
      <c r="BT26" s="457"/>
      <c r="BU26" s="457">
        <f t="shared" si="23"/>
        <v>0</v>
      </c>
      <c r="BV26" s="313"/>
    </row>
    <row r="27" spans="3:74" ht="18" customHeight="1">
      <c r="C27" s="522"/>
      <c r="D27" s="691"/>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9"/>
      <c r="AN27" s="468" t="s">
        <v>677</v>
      </c>
      <c r="AO27" s="477" t="s">
        <v>593</v>
      </c>
      <c r="AP27" s="363"/>
      <c r="AQ27" s="458" t="str">
        <f>IF(OR(ISBLANK(F13),ISBLANK(F9),ISBLANK(F11)),"N/A",IF(ROUND(AQ26,0)=ROUND(100-AQ18-AQ23,0),"ok","&lt;&gt;"))</f>
        <v>N/A</v>
      </c>
      <c r="AR27" s="458"/>
      <c r="AS27" s="458" t="str">
        <f>IF(OR(ISBLANK(H13),ISBLANK(H9),ISBLANK(H11)),"N/A",IF(ROUND(AS26,0)=ROUND(100-AS18-AS23,0),"ok","&lt;&gt;"))</f>
        <v>N/A</v>
      </c>
      <c r="AT27" s="458"/>
      <c r="AU27" s="458" t="str">
        <f>IF(OR(ISBLANK(J13),ISBLANK(J9),ISBLANK(J11)),"N/A",IF(ROUND(AU26,0)=ROUND(100-AU18-AU23,0),"ok","&lt;&gt;"))</f>
        <v>N/A</v>
      </c>
      <c r="AV27" s="458"/>
      <c r="AW27" s="458" t="str">
        <f>IF(OR(ISBLANK(L13),ISBLANK(L9),ISBLANK(L11)),"N/A",IF(ROUND(AW26,0)=ROUND(100-AW18-AW23,0),"ok","&lt;&gt;"))</f>
        <v>N/A</v>
      </c>
      <c r="AX27" s="458"/>
      <c r="AY27" s="458" t="str">
        <f>IF(OR(ISBLANK(N13),ISBLANK(N9),ISBLANK(N11)),"N/A",IF(ROUND(AY26,0)=ROUND(100-AY18-AY23,0),"ok","&lt;&gt;"))</f>
        <v>N/A</v>
      </c>
      <c r="AZ27" s="458"/>
      <c r="BA27" s="458" t="str">
        <f>IF(OR(ISBLANK(P13),ISBLANK(P9),ISBLANK(P11)),"N/A",IF(ROUND(BA26,0)=ROUND(100-BA18-BA23,0),"ok","&lt;&gt;"))</f>
        <v>N/A</v>
      </c>
      <c r="BB27" s="458"/>
      <c r="BC27" s="458" t="str">
        <f>IF(OR(ISBLANK(R13),ISBLANK(R9),ISBLANK(R11)),"N/A",IF(ROUND(BC26,0)=ROUND(100-BC18-BC23,0),"ok","&lt;&gt;"))</f>
        <v>N/A</v>
      </c>
      <c r="BD27" s="458"/>
      <c r="BE27" s="458" t="str">
        <f>IF(OR(ISBLANK(T13),ISBLANK(T9),ISBLANK(T11)),"N/A",IF(ROUND(BE26,0)=ROUND(100-BE18-BE23,0),"ok","&lt;&gt;"))</f>
        <v>N/A</v>
      </c>
      <c r="BF27" s="458"/>
      <c r="BG27" s="458" t="str">
        <f>IF(OR(ISBLANK(V13),ISBLANK(V9),ISBLANK(V11)),"N/A",IF(ROUND(BG26,0)=ROUND(100-BG18-BG23,0),"ok","&lt;&gt;"))</f>
        <v>N/A</v>
      </c>
      <c r="BH27" s="458"/>
      <c r="BI27" s="458" t="str">
        <f>IF(OR(ISBLANK(X13),ISBLANK(X9),ISBLANK(X11)),"N/A",IF(ROUND(BI26,0)=ROUND(100-BI18-BI23,0),"ok","&lt;&gt;"))</f>
        <v>N/A</v>
      </c>
      <c r="BJ27" s="458"/>
      <c r="BK27" s="458" t="str">
        <f>IF(OR(ISBLANK(Z13),ISBLANK(Z9),ISBLANK(Z11)),"N/A",IF(ROUND(BK26,0)=ROUND(100-BK18-BK23,0),"ok","&lt;&gt;"))</f>
        <v>N/A</v>
      </c>
      <c r="BL27" s="458"/>
      <c r="BM27" s="458" t="str">
        <f>IF(OR(ISBLANK(AB13),ISBLANK(AB9),ISBLANK(AB11)),"N/A",IF(ROUND(BM26,0)=ROUND(100-BM18-BM23,0),"ok","&lt;&gt;"))</f>
        <v>N/A</v>
      </c>
      <c r="BN27" s="458"/>
      <c r="BO27" s="458" t="str">
        <f>IF(OR(ISBLANK(AD13),ISBLANK(AD9),ISBLANK(AD11)),"N/A",IF(ROUND(BO26,0)=ROUND(100-BO18-BO23,0),"ok","&lt;&gt;"))</f>
        <v>N/A</v>
      </c>
      <c r="BP27" s="458"/>
      <c r="BQ27" s="458" t="str">
        <f>IF(OR(ISBLANK(AF13),ISBLANK(AF9),ISBLANK(AF11)),"N/A",IF(ROUND(BQ26,0)=ROUND(100-BQ18-BQ23,0),"ok","&lt;&gt;"))</f>
        <v>N/A</v>
      </c>
      <c r="BR27" s="458"/>
      <c r="BS27" s="458" t="str">
        <f>IF(OR(ISBLANK(AH13),ISBLANK(AH9),ISBLANK(AH11)),"N/A",IF(ROUND(BS26,0)=ROUND(100-BS18-BS23,0),"ok","&lt;&gt;"))</f>
        <v>N/A</v>
      </c>
      <c r="BT27" s="458"/>
      <c r="BU27" s="458" t="str">
        <f>IF(OR(ISBLANK(AJ13),ISBLANK(AJ9),ISBLANK(AJ11)),"N/A",IF(ROUND(BU26,0)=ROUND(100-BU18-BU23,0),"ok","&lt;&gt;"))</f>
        <v>N/A</v>
      </c>
      <c r="BV27" s="458"/>
    </row>
    <row r="28" spans="3:74" ht="18" customHeight="1">
      <c r="C28" s="522"/>
      <c r="D28" s="691"/>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9"/>
      <c r="AN28" s="449" t="s">
        <v>616</v>
      </c>
      <c r="AO28" s="478" t="s">
        <v>617</v>
      </c>
      <c r="AP28" s="420"/>
      <c r="AQ28" s="421"/>
      <c r="AR28" s="422"/>
      <c r="AS28" s="423"/>
      <c r="AT28" s="422"/>
      <c r="AU28" s="423"/>
      <c r="AV28" s="422"/>
      <c r="AW28" s="423"/>
      <c r="AX28" s="422"/>
      <c r="AY28" s="423"/>
      <c r="AZ28" s="422"/>
      <c r="BA28" s="421"/>
      <c r="BB28" s="422"/>
      <c r="BC28" s="421"/>
      <c r="BD28" s="422"/>
      <c r="BE28" s="421"/>
      <c r="BF28" s="422"/>
      <c r="BG28" s="421"/>
      <c r="BH28" s="422"/>
      <c r="BI28" s="421"/>
      <c r="BJ28" s="422"/>
      <c r="BK28" s="421"/>
      <c r="BL28" s="422"/>
      <c r="BM28" s="423"/>
      <c r="BN28" s="422"/>
      <c r="BO28" s="421"/>
      <c r="BP28" s="422"/>
      <c r="BQ28" s="421"/>
      <c r="BR28" s="422"/>
      <c r="BS28" s="421"/>
      <c r="BT28" s="422"/>
      <c r="BU28" s="421"/>
      <c r="BV28" s="422"/>
    </row>
    <row r="29" spans="3:74" ht="18" customHeight="1">
      <c r="C29" s="522"/>
      <c r="D29" s="691"/>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9"/>
      <c r="AN29" s="449" t="s">
        <v>618</v>
      </c>
      <c r="AO29" s="478" t="s">
        <v>619</v>
      </c>
      <c r="AP29" s="386"/>
      <c r="AQ29" s="322"/>
      <c r="AR29" s="387"/>
      <c r="AS29" s="323"/>
      <c r="AT29" s="387"/>
      <c r="AU29" s="323"/>
      <c r="AV29" s="387"/>
      <c r="AW29" s="323"/>
      <c r="AX29" s="387"/>
      <c r="AY29" s="323"/>
      <c r="AZ29" s="387"/>
      <c r="BA29" s="322"/>
      <c r="BB29" s="387"/>
      <c r="BC29" s="322"/>
      <c r="BD29" s="387"/>
      <c r="BE29" s="322"/>
      <c r="BF29" s="387"/>
      <c r="BG29" s="322"/>
      <c r="BH29" s="387"/>
      <c r="BI29" s="322"/>
      <c r="BJ29" s="387"/>
      <c r="BK29" s="322"/>
      <c r="BL29" s="387"/>
      <c r="BM29" s="323"/>
      <c r="BN29" s="387"/>
      <c r="BO29" s="322"/>
      <c r="BP29" s="387"/>
      <c r="BQ29" s="322"/>
      <c r="BR29" s="387"/>
      <c r="BS29" s="322"/>
      <c r="BT29" s="387"/>
      <c r="BU29" s="322"/>
      <c r="BV29" s="387"/>
    </row>
    <row r="30" spans="3:74" ht="18" customHeight="1">
      <c r="C30" s="522"/>
      <c r="D30" s="691"/>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9"/>
      <c r="AN30" s="449" t="s">
        <v>621</v>
      </c>
      <c r="AO30" s="478" t="s">
        <v>623</v>
      </c>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row>
    <row r="31" spans="3:74" ht="18" customHeight="1">
      <c r="C31" s="522"/>
      <c r="D31" s="691"/>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9"/>
      <c r="AN31" s="451" t="s">
        <v>620</v>
      </c>
      <c r="AO31" s="478" t="s">
        <v>533</v>
      </c>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c r="BS31" s="251"/>
      <c r="BT31" s="251"/>
      <c r="BU31" s="251"/>
      <c r="BV31" s="251"/>
    </row>
    <row r="32" spans="3:41" ht="18" customHeight="1">
      <c r="C32" s="522"/>
      <c r="D32" s="691"/>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9"/>
      <c r="AO32" s="479"/>
    </row>
    <row r="33" spans="3:38" ht="18" customHeight="1">
      <c r="C33" s="522"/>
      <c r="D33" s="691"/>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9"/>
    </row>
    <row r="34" spans="3:38" ht="18" customHeight="1">
      <c r="C34" s="522"/>
      <c r="D34" s="691"/>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9"/>
    </row>
    <row r="35" spans="3:38" ht="18" customHeight="1">
      <c r="C35" s="522"/>
      <c r="D35" s="691"/>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9"/>
    </row>
    <row r="36" spans="3:38" ht="18" customHeight="1">
      <c r="C36" s="522"/>
      <c r="D36" s="691"/>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9"/>
    </row>
    <row r="37" spans="3:38" ht="18" customHeight="1">
      <c r="C37" s="522"/>
      <c r="D37" s="691"/>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9"/>
    </row>
    <row r="38" spans="3:38" ht="18" customHeight="1">
      <c r="C38" s="522"/>
      <c r="D38" s="691"/>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9"/>
    </row>
    <row r="39" spans="3:38" ht="18" customHeight="1">
      <c r="C39" s="522"/>
      <c r="D39" s="691"/>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9"/>
    </row>
    <row r="40" spans="3:38" ht="18" customHeight="1">
      <c r="C40" s="522"/>
      <c r="D40" s="691"/>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9"/>
    </row>
    <row r="41" spans="3:38" ht="18" customHeight="1">
      <c r="C41" s="522"/>
      <c r="D41" s="691"/>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9"/>
    </row>
    <row r="42" spans="3:38" ht="18" customHeight="1">
      <c r="C42" s="522"/>
      <c r="D42" s="691"/>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9"/>
    </row>
    <row r="43" spans="3:38" ht="18" customHeight="1">
      <c r="C43" s="523"/>
      <c r="D43" s="691"/>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9"/>
    </row>
    <row r="44" spans="3:38" ht="18" customHeight="1">
      <c r="C44" s="524"/>
      <c r="D44" s="697"/>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c r="AH44" s="698"/>
      <c r="AI44" s="698"/>
      <c r="AJ44" s="698"/>
      <c r="AK44" s="698"/>
      <c r="AL44" s="700"/>
    </row>
    <row r="45" spans="1:74" s="14" customFormat="1" ht="10.5" customHeight="1">
      <c r="A45" s="427"/>
      <c r="B45" s="408"/>
      <c r="C45" s="50"/>
      <c r="D45" s="50"/>
      <c r="E45"/>
      <c r="F45" s="8"/>
      <c r="G45" s="8"/>
      <c r="H45" s="161"/>
      <c r="I45" s="177"/>
      <c r="J45" s="165"/>
      <c r="K45" s="177"/>
      <c r="L45" s="165"/>
      <c r="M45" s="177"/>
      <c r="N45" s="165"/>
      <c r="O45" s="177"/>
      <c r="P45" s="165"/>
      <c r="Q45" s="177"/>
      <c r="R45" s="161"/>
      <c r="S45" s="177"/>
      <c r="T45" s="161"/>
      <c r="U45" s="177"/>
      <c r="V45" s="161"/>
      <c r="W45" s="177"/>
      <c r="X45" s="161"/>
      <c r="Y45" s="177"/>
      <c r="Z45" s="161"/>
      <c r="AA45" s="191"/>
      <c r="AB45" s="161"/>
      <c r="AC45" s="177"/>
      <c r="AD45" s="165"/>
      <c r="AE45" s="177"/>
      <c r="AF45" s="161"/>
      <c r="AG45" s="177"/>
      <c r="AH45" s="161"/>
      <c r="AI45" s="183"/>
      <c r="AJ45" s="163"/>
      <c r="AK45" s="183"/>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row>
    <row r="46" spans="3:7" ht="12.75">
      <c r="C46" s="80"/>
      <c r="D46" s="80"/>
      <c r="F46" s="8"/>
      <c r="G46" s="8"/>
    </row>
    <row r="47" spans="3:4" ht="12.75">
      <c r="C47" s="80"/>
      <c r="D47" s="80"/>
    </row>
    <row r="48" spans="3:4" ht="12.75">
      <c r="C48" s="80"/>
      <c r="D48" s="80"/>
    </row>
    <row r="49" spans="3:4" ht="12.75">
      <c r="C49" s="80"/>
      <c r="D49" s="80"/>
    </row>
    <row r="50" spans="3:4" ht="12.75">
      <c r="C50" s="80"/>
      <c r="D50" s="80"/>
    </row>
    <row r="51" spans="3:4" ht="12.75">
      <c r="C51" s="80"/>
      <c r="D51" s="80"/>
    </row>
    <row r="52" spans="3:4" ht="12.75">
      <c r="C52" s="80"/>
      <c r="D52" s="80"/>
    </row>
    <row r="53" spans="3:4" ht="12.75">
      <c r="C53" s="80"/>
      <c r="D53" s="80"/>
    </row>
    <row r="54" spans="3:4" ht="12.75">
      <c r="C54" s="80"/>
      <c r="D54" s="80"/>
    </row>
    <row r="55" spans="3:4" ht="12.75">
      <c r="C55" s="80"/>
      <c r="D55" s="80"/>
    </row>
    <row r="56" spans="3:4" ht="12.75">
      <c r="C56" s="80"/>
      <c r="D56" s="80"/>
    </row>
    <row r="57" spans="3:4" ht="12.75">
      <c r="C57" s="80"/>
      <c r="D57" s="80"/>
    </row>
    <row r="58" spans="3:4" ht="12.75">
      <c r="C58" s="80"/>
      <c r="D58" s="80"/>
    </row>
    <row r="59" spans="3:4" ht="12.75">
      <c r="C59" s="80"/>
      <c r="D59" s="80"/>
    </row>
    <row r="60" spans="3:4" ht="12.75">
      <c r="C60" s="80"/>
      <c r="D60" s="80"/>
    </row>
    <row r="61" spans="3:4" ht="12.75">
      <c r="C61" s="80"/>
      <c r="D61" s="80"/>
    </row>
    <row r="62" spans="3:4" ht="12.75">
      <c r="C62" s="80"/>
      <c r="D62" s="80"/>
    </row>
    <row r="63" spans="3:4" ht="12.75">
      <c r="C63" s="80"/>
      <c r="D63" s="80"/>
    </row>
    <row r="64" spans="3:4" ht="12.75">
      <c r="C64" s="80"/>
      <c r="D64" s="80"/>
    </row>
    <row r="65" spans="3:4" ht="12.75">
      <c r="C65" s="80"/>
      <c r="D65" s="80"/>
    </row>
    <row r="66" spans="3:4" ht="12.75">
      <c r="C66" s="80"/>
      <c r="D66" s="80"/>
    </row>
    <row r="67" spans="3:4" ht="12.75">
      <c r="C67" s="80"/>
      <c r="D67" s="80"/>
    </row>
    <row r="68" spans="3:4" ht="12.75">
      <c r="C68" s="80"/>
      <c r="D68" s="80"/>
    </row>
    <row r="69" spans="3:4" ht="12.75">
      <c r="C69" s="80"/>
      <c r="D69" s="80"/>
    </row>
    <row r="70" spans="3:4" ht="12.75">
      <c r="C70" s="80"/>
      <c r="D70" s="80"/>
    </row>
    <row r="71" spans="3:4" ht="12.75">
      <c r="C71" s="80"/>
      <c r="D71" s="80"/>
    </row>
    <row r="72" spans="3:4" ht="12.75">
      <c r="C72" s="80"/>
      <c r="D72" s="80"/>
    </row>
    <row r="73" spans="3:4" ht="12.75">
      <c r="C73" s="80"/>
      <c r="D73" s="80"/>
    </row>
    <row r="74" spans="3:4" ht="12.75">
      <c r="C74" s="80"/>
      <c r="D74" s="80"/>
    </row>
  </sheetData>
  <sheetProtection sheet="1" objects="1" scenarios="1" formatCells="0" formatColumns="0" formatRows="0" insertColumns="0"/>
  <mergeCells count="30">
    <mergeCell ref="D33:AL33"/>
    <mergeCell ref="D34:AL34"/>
    <mergeCell ref="D35:AL35"/>
    <mergeCell ref="D36:AL36"/>
    <mergeCell ref="D43:AL43"/>
    <mergeCell ref="D44:AL44"/>
    <mergeCell ref="D37:AL37"/>
    <mergeCell ref="D38:AL38"/>
    <mergeCell ref="D39:AL39"/>
    <mergeCell ref="D40:AL40"/>
    <mergeCell ref="D41:AL41"/>
    <mergeCell ref="D42:AL42"/>
    <mergeCell ref="D31:AL31"/>
    <mergeCell ref="D32:AL32"/>
    <mergeCell ref="D26:AL26"/>
    <mergeCell ref="D27:AL27"/>
    <mergeCell ref="D28:AL28"/>
    <mergeCell ref="D29:AL29"/>
    <mergeCell ref="D30:AL30"/>
    <mergeCell ref="D23:AL23"/>
    <mergeCell ref="D24:AL24"/>
    <mergeCell ref="D25:AL25"/>
    <mergeCell ref="D16:AL16"/>
    <mergeCell ref="D18:AL18"/>
    <mergeCell ref="D17:AL17"/>
    <mergeCell ref="D22:AL22"/>
    <mergeCell ref="AN3:BV3"/>
    <mergeCell ref="AN6:BV6"/>
    <mergeCell ref="AN15:BV15"/>
    <mergeCell ref="C5:AH5"/>
  </mergeCells>
  <conditionalFormatting sqref="AF8:AF9 P8:P9 R8:R9 T8:T9 V8:V9 X8:X9 Z8:Z9 AD8:AD9 F8:F9 AJ8:AJ9 AH8:AH9 BQ28:BQ29 BA28:BA29 BC28:BC29 BE28:BE29 BG28:BG29 BI28:BI29 BK28:BK29 AJ11 BO28:BO29 AQ28:AQ29 BU28:BU29 BS28:BS29 AQ17:BU17 BG21 BE21 BC21 BA21 BQ21 BS21 BU21 BO21 BK21 BI21 AQ21 H8:H9 J8:J9 L8:L9 N8:N9 AB8:AB9 H11 J11 F11 L11 N11 P11 R11 T11 V11 X11 Z11 AB11 AD11 AF11 AH11">
    <cfRule type="cellIs" priority="1" dxfId="0" operator="lessThan" stopIfTrue="1">
      <formula>F9</formula>
    </cfRule>
  </conditionalFormatting>
  <conditionalFormatting sqref="AQ19:BU19 AQ22:BU22 AQ25:BU25 AQ27:BV27">
    <cfRule type="cellIs" priority="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1" header="0.43" footer="0.5"/>
  <pageSetup fitToHeight="2" horizontalDpi="600" verticalDpi="600" orientation="landscape" paperSize="9" scale="85" r:id="rId3"/>
  <headerFooter alignWithMargins="0">
    <oddFooter>&amp;C&amp;"Arial,Regular"&amp;8Questionnaire UNSD/PNUE 2010 sur les Statistiques de l’environnement - Section d'eau -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sheetPr codeName="Sheet11"/>
  <dimension ref="B1:R24"/>
  <sheetViews>
    <sheetView showGridLines="0" zoomScale="83" zoomScaleNormal="83" workbookViewId="0" topLeftCell="A1">
      <selection activeCell="B6" sqref="B6:D6"/>
    </sheetView>
  </sheetViews>
  <sheetFormatPr defaultColWidth="9.33203125" defaultRowHeight="12.75"/>
  <cols>
    <col min="1" max="1" width="6.66015625" style="0" customWidth="1"/>
    <col min="2" max="2" width="7.33203125" style="130" customWidth="1"/>
    <col min="3" max="3" width="9.33203125" style="130"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80" customFormat="1" ht="15.75">
      <c r="B1" s="600"/>
      <c r="C1" s="133" t="s">
        <v>263</v>
      </c>
      <c r="D1" s="114"/>
      <c r="E1" s="114"/>
      <c r="F1" s="114"/>
      <c r="G1" s="115"/>
      <c r="H1" s="115"/>
      <c r="I1" s="115"/>
      <c r="J1" s="556"/>
      <c r="K1" s="556"/>
      <c r="L1" s="556"/>
      <c r="M1" s="115"/>
      <c r="N1" s="115"/>
      <c r="O1" s="115"/>
      <c r="P1" s="115"/>
    </row>
    <row r="2" spans="4:16" ht="6.75" customHeight="1">
      <c r="D2" s="1"/>
      <c r="E2" s="1"/>
      <c r="F2" s="1"/>
      <c r="G2" s="2"/>
      <c r="H2" s="2"/>
      <c r="I2" s="2"/>
      <c r="M2" s="2"/>
      <c r="N2" s="2"/>
      <c r="O2" s="2"/>
      <c r="P2" s="2"/>
    </row>
    <row r="3" spans="3:18" s="131" customFormat="1" ht="15">
      <c r="C3" s="127" t="s">
        <v>57</v>
      </c>
      <c r="D3" s="604"/>
      <c r="E3" s="601"/>
      <c r="F3" s="127"/>
      <c r="G3" s="127"/>
      <c r="H3" s="129"/>
      <c r="K3" s="128" t="s">
        <v>130</v>
      </c>
      <c r="L3" s="129"/>
      <c r="M3" s="129"/>
      <c r="N3" s="129"/>
      <c r="O3" s="127"/>
      <c r="P3" s="132"/>
      <c r="Q3" s="132"/>
      <c r="R3" s="132"/>
    </row>
    <row r="4" spans="3:16" ht="7.5" customHeight="1">
      <c r="C4" s="240"/>
      <c r="D4" s="18"/>
      <c r="E4" s="18"/>
      <c r="F4" s="18"/>
      <c r="G4" s="7"/>
      <c r="H4" s="7"/>
      <c r="I4" s="7"/>
      <c r="J4" s="14"/>
      <c r="K4" s="14"/>
      <c r="L4" s="14"/>
      <c r="M4" s="7"/>
      <c r="N4" s="7"/>
      <c r="O4" s="7"/>
      <c r="P4" s="7"/>
    </row>
    <row r="5" spans="2:16" s="80" customFormat="1" ht="17.25" customHeight="1">
      <c r="B5" s="600"/>
      <c r="C5" s="682" t="s">
        <v>131</v>
      </c>
      <c r="D5" s="683"/>
      <c r="E5" s="683"/>
      <c r="F5" s="683"/>
      <c r="G5" s="683"/>
      <c r="H5" s="683"/>
      <c r="I5" s="683"/>
      <c r="J5" s="683"/>
      <c r="K5" s="683"/>
      <c r="L5" s="683"/>
      <c r="M5" s="683"/>
      <c r="N5" s="122"/>
      <c r="O5" s="122"/>
      <c r="P5" s="122"/>
    </row>
    <row r="6" ht="9.75" customHeight="1"/>
    <row r="7" spans="3:16" ht="17.25" customHeight="1">
      <c r="C7" s="754" t="s">
        <v>132</v>
      </c>
      <c r="D7" s="755"/>
      <c r="E7" s="755"/>
      <c r="F7" s="755"/>
      <c r="G7" s="755"/>
      <c r="H7" s="755"/>
      <c r="I7" s="755"/>
      <c r="J7" s="755"/>
      <c r="K7" s="755"/>
      <c r="L7" s="755"/>
      <c r="M7" s="755"/>
      <c r="N7" s="755"/>
      <c r="O7" s="755"/>
      <c r="P7" s="756"/>
    </row>
    <row r="8" spans="3:16" ht="25.5" customHeight="1">
      <c r="C8" s="760"/>
      <c r="D8" s="761"/>
      <c r="E8" s="761"/>
      <c r="F8" s="761"/>
      <c r="G8" s="761"/>
      <c r="H8" s="761"/>
      <c r="I8" s="761"/>
      <c r="J8" s="761"/>
      <c r="K8" s="761"/>
      <c r="L8" s="761"/>
      <c r="M8" s="761"/>
      <c r="N8" s="761"/>
      <c r="O8" s="761"/>
      <c r="P8" s="762"/>
    </row>
    <row r="9" spans="3:16" ht="39" customHeight="1">
      <c r="C9" s="757" t="s">
        <v>133</v>
      </c>
      <c r="D9" s="758"/>
      <c r="E9" s="758"/>
      <c r="F9" s="758"/>
      <c r="G9" s="758"/>
      <c r="H9" s="758"/>
      <c r="I9" s="758"/>
      <c r="J9" s="758"/>
      <c r="K9" s="758"/>
      <c r="L9" s="758"/>
      <c r="M9" s="758"/>
      <c r="N9" s="758"/>
      <c r="O9" s="758"/>
      <c r="P9" s="759"/>
    </row>
    <row r="10" spans="3:16" ht="15" customHeight="1">
      <c r="C10" s="763"/>
      <c r="D10" s="764"/>
      <c r="E10" s="764"/>
      <c r="F10" s="764"/>
      <c r="G10" s="764"/>
      <c r="H10" s="764"/>
      <c r="I10" s="764"/>
      <c r="J10" s="764"/>
      <c r="K10" s="764"/>
      <c r="L10" s="764"/>
      <c r="M10" s="764"/>
      <c r="N10" s="764"/>
      <c r="O10" s="764"/>
      <c r="P10" s="765"/>
    </row>
    <row r="11" spans="3:16" ht="15" customHeight="1">
      <c r="C11" s="763"/>
      <c r="D11" s="764"/>
      <c r="E11" s="764"/>
      <c r="F11" s="764"/>
      <c r="G11" s="764"/>
      <c r="H11" s="764"/>
      <c r="I11" s="764"/>
      <c r="J11" s="764"/>
      <c r="K11" s="764"/>
      <c r="L11" s="764"/>
      <c r="M11" s="764"/>
      <c r="N11" s="764"/>
      <c r="O11" s="764"/>
      <c r="P11" s="765"/>
    </row>
    <row r="12" spans="3:16" ht="15" customHeight="1">
      <c r="C12" s="763"/>
      <c r="D12" s="764"/>
      <c r="E12" s="764"/>
      <c r="F12" s="764"/>
      <c r="G12" s="764"/>
      <c r="H12" s="764"/>
      <c r="I12" s="764"/>
      <c r="J12" s="764"/>
      <c r="K12" s="764"/>
      <c r="L12" s="764"/>
      <c r="M12" s="764"/>
      <c r="N12" s="764"/>
      <c r="O12" s="764"/>
      <c r="P12" s="765"/>
    </row>
    <row r="13" spans="3:16" ht="15" customHeight="1">
      <c r="C13" s="763"/>
      <c r="D13" s="766"/>
      <c r="E13" s="766"/>
      <c r="F13" s="766"/>
      <c r="G13" s="766"/>
      <c r="H13" s="766"/>
      <c r="I13" s="766"/>
      <c r="J13" s="766"/>
      <c r="K13" s="766"/>
      <c r="L13" s="766"/>
      <c r="M13" s="766"/>
      <c r="N13" s="766"/>
      <c r="O13" s="766"/>
      <c r="P13" s="767"/>
    </row>
    <row r="14" spans="3:16" ht="15" customHeight="1">
      <c r="C14" s="763"/>
      <c r="D14" s="764"/>
      <c r="E14" s="764"/>
      <c r="F14" s="764"/>
      <c r="G14" s="764"/>
      <c r="H14" s="764"/>
      <c r="I14" s="764"/>
      <c r="J14" s="764"/>
      <c r="K14" s="764"/>
      <c r="L14" s="764"/>
      <c r="M14" s="764"/>
      <c r="N14" s="764"/>
      <c r="O14" s="764"/>
      <c r="P14" s="765"/>
    </row>
    <row r="15" spans="3:16" ht="15" customHeight="1">
      <c r="C15" s="763"/>
      <c r="D15" s="764"/>
      <c r="E15" s="764"/>
      <c r="F15" s="764"/>
      <c r="G15" s="764"/>
      <c r="H15" s="764"/>
      <c r="I15" s="764"/>
      <c r="J15" s="764"/>
      <c r="K15" s="764"/>
      <c r="L15" s="764"/>
      <c r="M15" s="764"/>
      <c r="N15" s="764"/>
      <c r="O15" s="764"/>
      <c r="P15" s="765"/>
    </row>
    <row r="16" spans="3:16" ht="15" customHeight="1">
      <c r="C16" s="763"/>
      <c r="D16" s="764"/>
      <c r="E16" s="764"/>
      <c r="F16" s="764"/>
      <c r="G16" s="764"/>
      <c r="H16" s="764"/>
      <c r="I16" s="764"/>
      <c r="J16" s="764"/>
      <c r="K16" s="764"/>
      <c r="L16" s="764"/>
      <c r="M16" s="764"/>
      <c r="N16" s="764"/>
      <c r="O16" s="764"/>
      <c r="P16" s="765"/>
    </row>
    <row r="17" spans="3:16" ht="15" customHeight="1">
      <c r="C17" s="763"/>
      <c r="D17" s="766"/>
      <c r="E17" s="766"/>
      <c r="F17" s="766"/>
      <c r="G17" s="766"/>
      <c r="H17" s="766"/>
      <c r="I17" s="766"/>
      <c r="J17" s="766"/>
      <c r="K17" s="766"/>
      <c r="L17" s="766"/>
      <c r="M17" s="766"/>
      <c r="N17" s="766"/>
      <c r="O17" s="766"/>
      <c r="P17" s="767"/>
    </row>
    <row r="18" spans="3:16" ht="15" customHeight="1">
      <c r="C18" s="763"/>
      <c r="D18" s="766"/>
      <c r="E18" s="766"/>
      <c r="F18" s="766"/>
      <c r="G18" s="766"/>
      <c r="H18" s="766"/>
      <c r="I18" s="766"/>
      <c r="J18" s="766"/>
      <c r="K18" s="766"/>
      <c r="L18" s="766"/>
      <c r="M18" s="766"/>
      <c r="N18" s="766"/>
      <c r="O18" s="766"/>
      <c r="P18" s="767"/>
    </row>
    <row r="19" spans="3:16" ht="15" customHeight="1">
      <c r="C19" s="754" t="s">
        <v>134</v>
      </c>
      <c r="D19" s="755"/>
      <c r="E19" s="755"/>
      <c r="F19" s="755"/>
      <c r="G19" s="755"/>
      <c r="H19" s="755"/>
      <c r="I19" s="755"/>
      <c r="J19" s="755"/>
      <c r="K19" s="755"/>
      <c r="L19" s="755"/>
      <c r="M19" s="755"/>
      <c r="N19" s="755"/>
      <c r="O19" s="755"/>
      <c r="P19" s="756"/>
    </row>
    <row r="20" spans="3:16" ht="15" customHeight="1">
      <c r="C20" s="763"/>
      <c r="D20" s="766"/>
      <c r="E20" s="766"/>
      <c r="F20" s="766"/>
      <c r="G20" s="766"/>
      <c r="H20" s="766"/>
      <c r="I20" s="766"/>
      <c r="J20" s="766"/>
      <c r="K20" s="766"/>
      <c r="L20" s="766"/>
      <c r="M20" s="766"/>
      <c r="N20" s="766"/>
      <c r="O20" s="766"/>
      <c r="P20" s="767"/>
    </row>
    <row r="21" spans="3:16" ht="15" customHeight="1">
      <c r="C21" s="763"/>
      <c r="D21" s="766"/>
      <c r="E21" s="766"/>
      <c r="F21" s="766"/>
      <c r="G21" s="766"/>
      <c r="H21" s="766"/>
      <c r="I21" s="766"/>
      <c r="J21" s="766"/>
      <c r="K21" s="766"/>
      <c r="L21" s="766"/>
      <c r="M21" s="766"/>
      <c r="N21" s="766"/>
      <c r="O21" s="766"/>
      <c r="P21" s="767"/>
    </row>
    <row r="22" spans="3:16" ht="15" customHeight="1">
      <c r="C22" s="763"/>
      <c r="D22" s="766"/>
      <c r="E22" s="766"/>
      <c r="F22" s="766"/>
      <c r="G22" s="766"/>
      <c r="H22" s="766"/>
      <c r="I22" s="766"/>
      <c r="J22" s="766"/>
      <c r="K22" s="766"/>
      <c r="L22" s="766"/>
      <c r="M22" s="766"/>
      <c r="N22" s="766"/>
      <c r="O22" s="766"/>
      <c r="P22" s="767"/>
    </row>
    <row r="23" spans="3:16" ht="15" customHeight="1">
      <c r="C23" s="763"/>
      <c r="D23" s="766"/>
      <c r="E23" s="766"/>
      <c r="F23" s="766"/>
      <c r="G23" s="766"/>
      <c r="H23" s="766"/>
      <c r="I23" s="766"/>
      <c r="J23" s="766"/>
      <c r="K23" s="766"/>
      <c r="L23" s="766"/>
      <c r="M23" s="766"/>
      <c r="N23" s="766"/>
      <c r="O23" s="766"/>
      <c r="P23" s="767"/>
    </row>
    <row r="24" spans="3:16" ht="15" customHeight="1">
      <c r="C24" s="768"/>
      <c r="D24" s="769"/>
      <c r="E24" s="769"/>
      <c r="F24" s="769"/>
      <c r="G24" s="769"/>
      <c r="H24" s="769"/>
      <c r="I24" s="769"/>
      <c r="J24" s="769"/>
      <c r="K24" s="769"/>
      <c r="L24" s="769"/>
      <c r="M24" s="769"/>
      <c r="N24" s="769"/>
      <c r="O24" s="769"/>
      <c r="P24" s="770"/>
    </row>
  </sheetData>
  <sheetProtection formatCells="0" formatColumns="0" formatRows="0" insertColumns="0"/>
  <mergeCells count="19">
    <mergeCell ref="C18:P18"/>
    <mergeCell ref="C23:P23"/>
    <mergeCell ref="C24:P24"/>
    <mergeCell ref="C19:P19"/>
    <mergeCell ref="C20:P20"/>
    <mergeCell ref="C21:P21"/>
    <mergeCell ref="C22:P22"/>
    <mergeCell ref="C16:P16"/>
    <mergeCell ref="C17:P17"/>
    <mergeCell ref="C10:P10"/>
    <mergeCell ref="C11:P11"/>
    <mergeCell ref="C12:P12"/>
    <mergeCell ref="C13:P13"/>
    <mergeCell ref="C14:P14"/>
    <mergeCell ref="C15:P15"/>
    <mergeCell ref="C5:M5"/>
    <mergeCell ref="C7:P7"/>
    <mergeCell ref="C9:P9"/>
    <mergeCell ref="C8:P8"/>
  </mergeCells>
  <printOptions horizontalCentered="1"/>
  <pageMargins left="0.56" right="0.4" top="0.65" bottom="1" header="0.43" footer="0.5"/>
  <pageSetup horizontalDpi="600" verticalDpi="600" orientation="landscape" paperSize="9" scale="98" r:id="rId1"/>
  <headerFooter alignWithMargins="0">
    <oddFooter>&amp;C&amp;"Arial,Regular"&amp;8Questionnaire UNSD/PNUE 2010 sur les Statistiques de l’environnement - Section d'eau - p.&amp;P</oddFooter>
  </headerFooter>
</worksheet>
</file>

<file path=xl/worksheets/sheet2.xml><?xml version="1.0" encoding="utf-8"?>
<worksheet xmlns="http://schemas.openxmlformats.org/spreadsheetml/2006/main" xmlns:r="http://schemas.openxmlformats.org/officeDocument/2006/relationships">
  <sheetPr codeName="Sheet2"/>
  <dimension ref="A1:L78"/>
  <sheetViews>
    <sheetView showGridLines="0" showRowColHeaders="0" zoomScaleSheetLayoutView="100" workbookViewId="0" topLeftCell="A1">
      <selection activeCell="B6" sqref="B6:D6"/>
    </sheetView>
  </sheetViews>
  <sheetFormatPr defaultColWidth="9.33203125" defaultRowHeight="12.75"/>
  <cols>
    <col min="1" max="1" width="3.33203125" style="0" customWidth="1"/>
    <col min="2" max="2" width="11.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130"/>
      <c r="B1" s="124" t="s">
        <v>263</v>
      </c>
    </row>
    <row r="2" ht="9.75" customHeight="1"/>
    <row r="3" spans="2:11" s="80" customFormat="1" ht="16.5" customHeight="1">
      <c r="B3" s="637" t="s">
        <v>265</v>
      </c>
      <c r="C3" s="637"/>
      <c r="D3" s="637"/>
      <c r="E3" s="637"/>
      <c r="F3" s="637"/>
      <c r="G3" s="637"/>
      <c r="H3" s="637"/>
      <c r="I3" s="637"/>
      <c r="J3" s="637"/>
      <c r="K3" s="637"/>
    </row>
    <row r="4" ht="9.75" customHeight="1">
      <c r="C4" s="31"/>
    </row>
    <row r="5" spans="2:11" s="80" customFormat="1" ht="15.75">
      <c r="B5" s="639" t="s">
        <v>285</v>
      </c>
      <c r="C5" s="639"/>
      <c r="D5" s="639"/>
      <c r="E5" s="639"/>
      <c r="F5" s="639"/>
      <c r="G5" s="639"/>
      <c r="H5" s="639"/>
      <c r="I5" s="639"/>
      <c r="J5" s="639"/>
      <c r="K5" s="639"/>
    </row>
    <row r="6" spans="2:10" ht="7.5" customHeight="1">
      <c r="B6" s="32"/>
      <c r="C6" s="33"/>
      <c r="D6" s="19"/>
      <c r="F6" s="19"/>
      <c r="G6" s="14"/>
      <c r="H6" s="14"/>
      <c r="I6" s="14"/>
      <c r="J6" s="14"/>
    </row>
    <row r="7" spans="2:11" s="24" customFormat="1" ht="50.25" customHeight="1">
      <c r="B7" s="633" t="s">
        <v>286</v>
      </c>
      <c r="C7" s="633"/>
      <c r="D7" s="633"/>
      <c r="E7" s="633"/>
      <c r="F7" s="633"/>
      <c r="G7" s="633"/>
      <c r="H7" s="633"/>
      <c r="I7" s="633"/>
      <c r="J7" s="633"/>
      <c r="K7" s="633"/>
    </row>
    <row r="8" spans="2:11" s="24" customFormat="1" ht="0.75" customHeight="1" hidden="1">
      <c r="B8" s="200"/>
      <c r="C8" s="200"/>
      <c r="D8" s="200"/>
      <c r="E8" s="200"/>
      <c r="F8" s="200"/>
      <c r="G8" s="200"/>
      <c r="H8" s="200"/>
      <c r="I8" s="200"/>
      <c r="J8" s="200"/>
      <c r="K8" s="200"/>
    </row>
    <row r="9" spans="2:11" s="24" customFormat="1" ht="29.25" customHeight="1">
      <c r="B9" s="633" t="s">
        <v>287</v>
      </c>
      <c r="C9" s="638"/>
      <c r="D9" s="638"/>
      <c r="E9" s="638"/>
      <c r="F9" s="638"/>
      <c r="G9" s="638"/>
      <c r="H9" s="638"/>
      <c r="I9" s="638"/>
      <c r="J9" s="638"/>
      <c r="K9" s="638"/>
    </row>
    <row r="10" s="24" customFormat="1" ht="4.5" customHeight="1" hidden="1"/>
    <row r="11" spans="2:11" s="2" customFormat="1" ht="38.25" customHeight="1">
      <c r="B11" s="630" t="s">
        <v>288</v>
      </c>
      <c r="C11" s="630"/>
      <c r="D11" s="630"/>
      <c r="E11" s="630"/>
      <c r="F11" s="630"/>
      <c r="G11" s="630"/>
      <c r="H11" s="630"/>
      <c r="I11" s="630"/>
      <c r="J11" s="630"/>
      <c r="K11" s="630"/>
    </row>
    <row r="12" spans="2:11" s="24" customFormat="1" ht="3" customHeight="1">
      <c r="B12" s="200"/>
      <c r="C12" s="200"/>
      <c r="D12" s="200"/>
      <c r="E12" s="200"/>
      <c r="F12" s="200"/>
      <c r="G12" s="200"/>
      <c r="H12" s="200"/>
      <c r="I12" s="200"/>
      <c r="J12" s="200"/>
      <c r="K12" s="200"/>
    </row>
    <row r="13" spans="2:11" s="24" customFormat="1" ht="26.25" customHeight="1">
      <c r="B13" s="642" t="s">
        <v>289</v>
      </c>
      <c r="C13" s="642"/>
      <c r="D13" s="642"/>
      <c r="E13" s="642"/>
      <c r="F13" s="642"/>
      <c r="G13" s="642"/>
      <c r="H13" s="642"/>
      <c r="I13" s="642"/>
      <c r="J13" s="642"/>
      <c r="K13" s="642"/>
    </row>
    <row r="14" spans="2:11" s="24" customFormat="1" ht="2.25" customHeight="1">
      <c r="B14" s="200"/>
      <c r="C14" s="200"/>
      <c r="D14" s="200"/>
      <c r="E14" s="200"/>
      <c r="F14" s="200"/>
      <c r="G14" s="200"/>
      <c r="H14" s="200"/>
      <c r="I14" s="200"/>
      <c r="J14" s="200"/>
      <c r="K14" s="200"/>
    </row>
    <row r="15" spans="2:11" s="260" customFormat="1" ht="25.5" customHeight="1">
      <c r="B15" s="643" t="s">
        <v>290</v>
      </c>
      <c r="C15" s="643"/>
      <c r="D15" s="643"/>
      <c r="E15" s="643"/>
      <c r="F15" s="643"/>
      <c r="G15" s="643"/>
      <c r="H15" s="643"/>
      <c r="I15" s="643"/>
      <c r="J15" s="643"/>
      <c r="K15" s="643"/>
    </row>
    <row r="16" spans="2:11" s="24" customFormat="1" ht="2.25" customHeight="1">
      <c r="B16" s="200"/>
      <c r="C16" s="200"/>
      <c r="D16" s="200"/>
      <c r="E16" s="200"/>
      <c r="F16" s="200"/>
      <c r="G16" s="200"/>
      <c r="H16" s="200"/>
      <c r="I16" s="200"/>
      <c r="J16" s="200"/>
      <c r="K16" s="200"/>
    </row>
    <row r="17" spans="2:11" s="24" customFormat="1" ht="36" customHeight="1">
      <c r="B17" s="633" t="s">
        <v>291</v>
      </c>
      <c r="C17" s="633"/>
      <c r="D17" s="633"/>
      <c r="E17" s="633"/>
      <c r="F17" s="633"/>
      <c r="G17" s="633"/>
      <c r="H17" s="633"/>
      <c r="I17" s="633"/>
      <c r="J17" s="633"/>
      <c r="K17" s="633"/>
    </row>
    <row r="18" s="24" customFormat="1" ht="0.75" customHeight="1"/>
    <row r="19" spans="2:11" s="24" customFormat="1" ht="26.25" customHeight="1">
      <c r="B19" s="633" t="s">
        <v>292</v>
      </c>
      <c r="C19" s="633"/>
      <c r="D19" s="633"/>
      <c r="E19" s="633"/>
      <c r="F19" s="633"/>
      <c r="G19" s="633"/>
      <c r="H19" s="633"/>
      <c r="I19" s="633"/>
      <c r="J19" s="633"/>
      <c r="K19" s="633"/>
    </row>
    <row r="20" spans="2:11" s="24" customFormat="1" ht="2.25" customHeight="1">
      <c r="B20" s="561"/>
      <c r="C20" s="561"/>
      <c r="D20" s="561"/>
      <c r="E20" s="561"/>
      <c r="F20" s="561"/>
      <c r="G20" s="561"/>
      <c r="H20" s="561"/>
      <c r="I20" s="561"/>
      <c r="J20" s="561"/>
      <c r="K20" s="561"/>
    </row>
    <row r="21" spans="2:11" s="24" customFormat="1" ht="26.25" customHeight="1">
      <c r="B21" s="633" t="s">
        <v>293</v>
      </c>
      <c r="C21" s="633"/>
      <c r="D21" s="633"/>
      <c r="E21" s="633"/>
      <c r="F21" s="633"/>
      <c r="G21" s="633"/>
      <c r="H21" s="633"/>
      <c r="I21" s="633"/>
      <c r="J21" s="633"/>
      <c r="K21" s="633"/>
    </row>
    <row r="22" spans="2:11" ht="6.75" customHeight="1">
      <c r="B22" s="22"/>
      <c r="C22" s="22"/>
      <c r="D22" s="22"/>
      <c r="E22" s="22"/>
      <c r="F22" s="22"/>
      <c r="G22" s="22"/>
      <c r="H22" s="22"/>
      <c r="I22" s="22"/>
      <c r="J22" s="22"/>
      <c r="K22" s="22"/>
    </row>
    <row r="23" spans="2:11" s="24" customFormat="1" ht="12.75" customHeight="1">
      <c r="B23" s="624" t="s">
        <v>294</v>
      </c>
      <c r="C23" s="624"/>
      <c r="D23" s="624"/>
      <c r="E23" s="625"/>
      <c r="F23" s="625"/>
      <c r="G23" s="625"/>
      <c r="H23" s="625"/>
      <c r="I23" s="562"/>
      <c r="J23" s="562"/>
      <c r="K23" s="562"/>
    </row>
    <row r="24" spans="2:11" ht="0.75" customHeight="1">
      <c r="B24" s="562"/>
      <c r="C24" s="562"/>
      <c r="D24" s="562"/>
      <c r="E24" s="562"/>
      <c r="F24" s="562"/>
      <c r="G24" s="562"/>
      <c r="H24" s="562"/>
      <c r="I24" s="562"/>
      <c r="J24" s="562"/>
      <c r="K24" s="562"/>
    </row>
    <row r="25" spans="2:11" ht="42" customHeight="1">
      <c r="B25" s="640" t="s">
        <v>295</v>
      </c>
      <c r="C25" s="640"/>
      <c r="D25" s="640"/>
      <c r="E25" s="640"/>
      <c r="F25" s="640"/>
      <c r="G25" s="640"/>
      <c r="H25" s="640"/>
      <c r="I25" s="640"/>
      <c r="J25" s="640"/>
      <c r="K25" s="640"/>
    </row>
    <row r="26" spans="2:11" ht="15.75" customHeight="1">
      <c r="B26" s="640" t="s">
        <v>349</v>
      </c>
      <c r="C26" s="640"/>
      <c r="D26" s="640"/>
      <c r="E26" s="640"/>
      <c r="F26" s="640"/>
      <c r="G26" s="640"/>
      <c r="H26" s="640"/>
      <c r="I26" s="640"/>
      <c r="J26" s="640"/>
      <c r="K26" s="640"/>
    </row>
    <row r="27" spans="2:11" ht="15.75" customHeight="1">
      <c r="B27" s="640" t="s">
        <v>296</v>
      </c>
      <c r="C27" s="640"/>
      <c r="D27" s="640"/>
      <c r="E27" s="640"/>
      <c r="F27" s="640"/>
      <c r="G27" s="640"/>
      <c r="H27" s="640"/>
      <c r="I27" s="640"/>
      <c r="J27" s="640"/>
      <c r="K27" s="640"/>
    </row>
    <row r="28" spans="2:11" s="260" customFormat="1" ht="28.5" customHeight="1">
      <c r="B28" s="640" t="s">
        <v>297</v>
      </c>
      <c r="C28" s="640"/>
      <c r="D28" s="640"/>
      <c r="E28" s="640"/>
      <c r="F28" s="640"/>
      <c r="G28" s="640"/>
      <c r="H28" s="640"/>
      <c r="I28" s="640"/>
      <c r="J28" s="640"/>
      <c r="K28" s="640"/>
    </row>
    <row r="29" spans="2:11" s="24" customFormat="1" ht="8.25" customHeight="1">
      <c r="B29" s="633"/>
      <c r="C29" s="638"/>
      <c r="D29" s="638"/>
      <c r="E29" s="638"/>
      <c r="F29" s="638"/>
      <c r="G29" s="638"/>
      <c r="H29" s="638"/>
      <c r="I29" s="638"/>
      <c r="J29" s="638"/>
      <c r="K29" s="638"/>
    </row>
    <row r="30" spans="2:11" ht="0.75" customHeight="1">
      <c r="B30" s="41"/>
      <c r="C30" s="42"/>
      <c r="D30" s="42"/>
      <c r="E30" s="42"/>
      <c r="F30" s="42"/>
      <c r="G30" s="42"/>
      <c r="H30" s="42"/>
      <c r="I30" s="42"/>
      <c r="J30" s="42"/>
      <c r="K30" s="43"/>
    </row>
    <row r="31" spans="2:11" s="80" customFormat="1" ht="15.75">
      <c r="B31" s="639" t="s">
        <v>298</v>
      </c>
      <c r="C31" s="641"/>
      <c r="D31" s="641"/>
      <c r="E31" s="641"/>
      <c r="F31" s="641"/>
      <c r="G31" s="641"/>
      <c r="H31" s="641"/>
      <c r="I31" s="641"/>
      <c r="J31" s="641"/>
      <c r="K31" s="641"/>
    </row>
    <row r="32" spans="2:11" ht="7.5" customHeight="1">
      <c r="B32" s="40"/>
      <c r="C32" s="34"/>
      <c r="D32" s="40"/>
      <c r="E32" s="34"/>
      <c r="F32" s="40"/>
      <c r="G32" s="34"/>
      <c r="H32" s="40"/>
      <c r="I32" s="34"/>
      <c r="J32" s="40"/>
      <c r="K32" s="34"/>
    </row>
    <row r="33" spans="2:11" ht="7.5" customHeight="1">
      <c r="B33" s="645"/>
      <c r="C33" s="645"/>
      <c r="D33" s="645"/>
      <c r="E33" s="645"/>
      <c r="F33" s="645"/>
      <c r="G33" s="645"/>
      <c r="H33" s="645"/>
      <c r="I33" s="645"/>
      <c r="J33" s="645"/>
      <c r="K33" s="645"/>
    </row>
    <row r="34" spans="2:11" s="260" customFormat="1" ht="15.75" customHeight="1">
      <c r="B34" s="261" t="s">
        <v>173</v>
      </c>
      <c r="C34" s="630" t="s">
        <v>299</v>
      </c>
      <c r="D34" s="630"/>
      <c r="E34" s="630"/>
      <c r="F34" s="630"/>
      <c r="G34" s="630"/>
      <c r="H34" s="630"/>
      <c r="I34" s="630"/>
      <c r="J34" s="630"/>
      <c r="K34" s="630"/>
    </row>
    <row r="35" spans="2:11" s="260" customFormat="1" ht="36.75" customHeight="1">
      <c r="B35" s="261" t="s">
        <v>173</v>
      </c>
      <c r="C35" s="632" t="s">
        <v>300</v>
      </c>
      <c r="D35" s="632"/>
      <c r="E35" s="632"/>
      <c r="F35" s="632"/>
      <c r="G35" s="632"/>
      <c r="H35" s="632"/>
      <c r="I35" s="632"/>
      <c r="J35" s="632"/>
      <c r="K35" s="632"/>
    </row>
    <row r="36" spans="2:11" s="202" customFormat="1" ht="51.75" customHeight="1">
      <c r="B36" s="201" t="s">
        <v>173</v>
      </c>
      <c r="C36" s="632" t="s">
        <v>301</v>
      </c>
      <c r="D36" s="632"/>
      <c r="E36" s="632"/>
      <c r="F36" s="632"/>
      <c r="G36" s="632"/>
      <c r="H36" s="632"/>
      <c r="I36" s="632"/>
      <c r="J36" s="632"/>
      <c r="K36" s="632"/>
    </row>
    <row r="37" spans="2:11" s="260" customFormat="1" ht="38.25" customHeight="1">
      <c r="B37" s="280" t="s">
        <v>173</v>
      </c>
      <c r="C37" s="634" t="s">
        <v>302</v>
      </c>
      <c r="D37" s="634"/>
      <c r="E37" s="634"/>
      <c r="F37" s="634"/>
      <c r="G37" s="634"/>
      <c r="H37" s="634"/>
      <c r="I37" s="634"/>
      <c r="J37" s="634"/>
      <c r="K37" s="634"/>
    </row>
    <row r="38" spans="2:11" s="24" customFormat="1" ht="50.25" customHeight="1">
      <c r="B38" s="203" t="s">
        <v>173</v>
      </c>
      <c r="C38" s="633" t="s">
        <v>303</v>
      </c>
      <c r="D38" s="633"/>
      <c r="E38" s="633"/>
      <c r="F38" s="633"/>
      <c r="G38" s="633"/>
      <c r="H38" s="633"/>
      <c r="I38" s="633"/>
      <c r="J38" s="633"/>
      <c r="K38" s="633"/>
    </row>
    <row r="39" spans="2:11" s="24" customFormat="1" ht="14.25" customHeight="1">
      <c r="B39" s="203" t="s">
        <v>173</v>
      </c>
      <c r="C39" s="630" t="s">
        <v>304</v>
      </c>
      <c r="D39" s="630"/>
      <c r="E39" s="630"/>
      <c r="F39" s="630"/>
      <c r="G39" s="630"/>
      <c r="H39" s="630"/>
      <c r="I39" s="630"/>
      <c r="J39" s="630"/>
      <c r="K39" s="630"/>
    </row>
    <row r="40" spans="2:11" s="260" customFormat="1" ht="27.75" customHeight="1">
      <c r="B40" s="280" t="s">
        <v>173</v>
      </c>
      <c r="C40" s="631" t="s">
        <v>305</v>
      </c>
      <c r="D40" s="631"/>
      <c r="E40" s="631"/>
      <c r="F40" s="631"/>
      <c r="G40" s="631"/>
      <c r="H40" s="631"/>
      <c r="I40" s="631"/>
      <c r="J40" s="631"/>
      <c r="K40" s="631"/>
    </row>
    <row r="41" spans="2:11" s="24" customFormat="1" ht="15.75" customHeight="1">
      <c r="B41" s="203" t="s">
        <v>173</v>
      </c>
      <c r="C41" s="642" t="s">
        <v>306</v>
      </c>
      <c r="D41" s="642"/>
      <c r="E41" s="642"/>
      <c r="F41" s="642"/>
      <c r="G41" s="642"/>
      <c r="H41" s="642"/>
      <c r="I41" s="642"/>
      <c r="J41" s="642"/>
      <c r="K41" s="642"/>
    </row>
    <row r="42" spans="2:11" s="260" customFormat="1" ht="15.75" customHeight="1">
      <c r="B42" s="280" t="s">
        <v>173</v>
      </c>
      <c r="C42" s="644" t="s">
        <v>307</v>
      </c>
      <c r="D42" s="644"/>
      <c r="E42" s="644"/>
      <c r="F42" s="644"/>
      <c r="G42" s="644"/>
      <c r="H42" s="644"/>
      <c r="I42" s="644"/>
      <c r="J42" s="644"/>
      <c r="K42" s="644"/>
    </row>
    <row r="43" spans="2:11" s="260" customFormat="1" ht="27" customHeight="1">
      <c r="B43" s="280" t="s">
        <v>173</v>
      </c>
      <c r="C43" s="644" t="s">
        <v>308</v>
      </c>
      <c r="D43" s="644"/>
      <c r="E43" s="644"/>
      <c r="F43" s="644"/>
      <c r="G43" s="644"/>
      <c r="H43" s="644"/>
      <c r="I43" s="644"/>
      <c r="J43" s="644"/>
      <c r="K43" s="644"/>
    </row>
    <row r="44" spans="2:11" s="24" customFormat="1" ht="5.25" customHeight="1">
      <c r="B44" s="203"/>
      <c r="C44" s="642"/>
      <c r="D44" s="642"/>
      <c r="E44" s="642"/>
      <c r="F44" s="642"/>
      <c r="G44" s="642"/>
      <c r="H44" s="642"/>
      <c r="I44" s="642"/>
      <c r="J44" s="642"/>
      <c r="K44" s="642"/>
    </row>
    <row r="45" spans="2:11" s="281" customFormat="1" ht="15.75" customHeight="1">
      <c r="B45" s="204" t="s">
        <v>309</v>
      </c>
      <c r="C45" s="204"/>
      <c r="D45" s="204"/>
      <c r="E45" s="499"/>
      <c r="F45" s="499"/>
      <c r="G45" s="563"/>
      <c r="H45" s="563"/>
      <c r="I45" s="563"/>
      <c r="J45" s="563"/>
      <c r="K45" s="563"/>
    </row>
    <row r="46" spans="2:11" s="208" customFormat="1" ht="2.25" customHeight="1">
      <c r="B46" s="205"/>
      <c r="C46" s="107"/>
      <c r="D46" s="107"/>
      <c r="E46" s="107"/>
      <c r="F46" s="107"/>
      <c r="G46" s="107"/>
      <c r="H46" s="107"/>
      <c r="I46" s="107"/>
      <c r="J46" s="107"/>
      <c r="K46" s="107"/>
    </row>
    <row r="47" spans="2:11" s="208" customFormat="1" ht="13.5" customHeight="1">
      <c r="B47" s="209" t="s">
        <v>530</v>
      </c>
      <c r="C47" s="206" t="s">
        <v>310</v>
      </c>
      <c r="D47" s="207"/>
      <c r="E47" s="207"/>
      <c r="F47" s="207"/>
      <c r="G47" s="207"/>
      <c r="H47" s="207"/>
      <c r="I47" s="207"/>
      <c r="J47" s="207"/>
      <c r="K47" s="207"/>
    </row>
    <row r="48" spans="2:11" s="208" customFormat="1" ht="12.75">
      <c r="B48" s="209" t="s">
        <v>530</v>
      </c>
      <c r="C48" s="206" t="s">
        <v>311</v>
      </c>
      <c r="D48" s="206"/>
      <c r="E48" s="206"/>
      <c r="F48" s="206"/>
      <c r="G48" s="206"/>
      <c r="H48" s="206"/>
      <c r="I48" s="206"/>
      <c r="J48" s="206"/>
      <c r="K48" s="206"/>
    </row>
    <row r="49" spans="2:11" s="208" customFormat="1" ht="14.25" customHeight="1">
      <c r="B49" s="209" t="s">
        <v>530</v>
      </c>
      <c r="C49" s="206" t="s">
        <v>312</v>
      </c>
      <c r="D49" s="107"/>
      <c r="E49" s="107"/>
      <c r="F49" s="107"/>
      <c r="G49" s="107"/>
      <c r="H49" s="107"/>
      <c r="I49" s="107"/>
      <c r="J49" s="107"/>
      <c r="K49" s="107"/>
    </row>
    <row r="50" spans="2:11" s="208" customFormat="1" ht="15.75" customHeight="1">
      <c r="B50" s="209" t="s">
        <v>530</v>
      </c>
      <c r="C50" s="623" t="s">
        <v>313</v>
      </c>
      <c r="D50" s="623"/>
      <c r="E50" s="623"/>
      <c r="F50" s="623"/>
      <c r="G50" s="623"/>
      <c r="H50" s="623"/>
      <c r="I50" s="623"/>
      <c r="J50" s="623"/>
      <c r="K50" s="623"/>
    </row>
    <row r="51" spans="2:11" s="150" customFormat="1" ht="6" customHeight="1">
      <c r="B51" s="151"/>
      <c r="C51" s="152"/>
      <c r="D51" s="153"/>
      <c r="E51" s="153"/>
      <c r="F51" s="153"/>
      <c r="G51" s="153"/>
      <c r="H51" s="153"/>
      <c r="I51" s="153"/>
      <c r="J51" s="153"/>
      <c r="K51" s="153"/>
    </row>
    <row r="52" spans="2:11" s="80" customFormat="1" ht="15.75" customHeight="1">
      <c r="B52" s="635" t="s">
        <v>314</v>
      </c>
      <c r="C52" s="636"/>
      <c r="D52" s="636"/>
      <c r="E52" s="636"/>
      <c r="F52" s="636"/>
      <c r="G52" s="636"/>
      <c r="H52" s="636"/>
      <c r="I52" s="636"/>
      <c r="J52" s="636"/>
      <c r="K52" s="636"/>
    </row>
    <row r="53" spans="2:11" ht="7.5" customHeight="1">
      <c r="B53" s="2"/>
      <c r="C53" s="2"/>
      <c r="D53" s="35"/>
      <c r="E53" s="35"/>
      <c r="F53" s="2"/>
      <c r="G53" s="35"/>
      <c r="H53" s="35"/>
      <c r="I53" s="35"/>
      <c r="J53" s="35"/>
      <c r="K53" s="36"/>
    </row>
    <row r="54" spans="2:12" ht="24" customHeight="1">
      <c r="B54" s="626" t="s">
        <v>315</v>
      </c>
      <c r="C54" s="627"/>
      <c r="D54" s="627"/>
      <c r="E54" s="627"/>
      <c r="F54" s="627"/>
      <c r="G54" s="627"/>
      <c r="H54" s="627"/>
      <c r="I54" s="627"/>
      <c r="J54" s="627"/>
      <c r="K54" s="628"/>
      <c r="L54" s="99"/>
    </row>
    <row r="55" spans="2:11" ht="65.25" customHeight="1">
      <c r="B55" s="646" t="s">
        <v>316</v>
      </c>
      <c r="C55" s="647"/>
      <c r="D55" s="647"/>
      <c r="E55" s="647"/>
      <c r="F55" s="647"/>
      <c r="G55" s="647"/>
      <c r="H55" s="647"/>
      <c r="I55" s="647"/>
      <c r="J55" s="647"/>
      <c r="K55" s="648"/>
    </row>
    <row r="56" spans="2:11" ht="24" customHeight="1">
      <c r="B56" s="626" t="s">
        <v>317</v>
      </c>
      <c r="C56" s="627"/>
      <c r="D56" s="627"/>
      <c r="E56" s="627"/>
      <c r="F56" s="627"/>
      <c r="G56" s="627"/>
      <c r="H56" s="627"/>
      <c r="I56" s="627"/>
      <c r="J56" s="627"/>
      <c r="K56" s="628"/>
    </row>
    <row r="57" spans="2:11" ht="66.75" customHeight="1">
      <c r="B57" s="646" t="s">
        <v>318</v>
      </c>
      <c r="C57" s="647"/>
      <c r="D57" s="647"/>
      <c r="E57" s="647"/>
      <c r="F57" s="647"/>
      <c r="G57" s="647"/>
      <c r="H57" s="647"/>
      <c r="I57" s="647"/>
      <c r="J57" s="647"/>
      <c r="K57" s="648"/>
    </row>
    <row r="58" spans="2:11" ht="24" customHeight="1">
      <c r="B58" s="626" t="s">
        <v>319</v>
      </c>
      <c r="C58" s="627"/>
      <c r="D58" s="627"/>
      <c r="E58" s="627"/>
      <c r="F58" s="627"/>
      <c r="G58" s="627"/>
      <c r="H58" s="627"/>
      <c r="I58" s="627"/>
      <c r="J58" s="627"/>
      <c r="K58" s="628"/>
    </row>
    <row r="59" spans="2:11" ht="50.25" customHeight="1">
      <c r="B59" s="646" t="s">
        <v>320</v>
      </c>
      <c r="C59" s="647"/>
      <c r="D59" s="647"/>
      <c r="E59" s="647"/>
      <c r="F59" s="647"/>
      <c r="G59" s="647"/>
      <c r="H59" s="647"/>
      <c r="I59" s="647"/>
      <c r="J59" s="647"/>
      <c r="K59" s="648"/>
    </row>
    <row r="60" spans="2:11" ht="24" customHeight="1">
      <c r="B60" s="626" t="s">
        <v>321</v>
      </c>
      <c r="C60" s="627"/>
      <c r="D60" s="627"/>
      <c r="E60" s="627"/>
      <c r="F60" s="627"/>
      <c r="G60" s="627"/>
      <c r="H60" s="627"/>
      <c r="I60" s="627"/>
      <c r="J60" s="627"/>
      <c r="K60" s="628"/>
    </row>
    <row r="61" spans="2:11" ht="37.5" customHeight="1">
      <c r="B61" s="646" t="s">
        <v>322</v>
      </c>
      <c r="C61" s="647"/>
      <c r="D61" s="647"/>
      <c r="E61" s="647"/>
      <c r="F61" s="647"/>
      <c r="G61" s="647"/>
      <c r="H61" s="647"/>
      <c r="I61" s="647"/>
      <c r="J61" s="647"/>
      <c r="K61" s="648"/>
    </row>
    <row r="62" spans="2:11" ht="24" customHeight="1">
      <c r="B62" s="626" t="s">
        <v>323</v>
      </c>
      <c r="C62" s="627"/>
      <c r="D62" s="627"/>
      <c r="E62" s="627"/>
      <c r="F62" s="627"/>
      <c r="G62" s="627"/>
      <c r="H62" s="627"/>
      <c r="I62" s="627"/>
      <c r="J62" s="627"/>
      <c r="K62" s="628"/>
    </row>
    <row r="63" spans="2:11" ht="64.5" customHeight="1">
      <c r="B63" s="646" t="s">
        <v>324</v>
      </c>
      <c r="C63" s="647"/>
      <c r="D63" s="647"/>
      <c r="E63" s="647"/>
      <c r="F63" s="647"/>
      <c r="G63" s="647"/>
      <c r="H63" s="647"/>
      <c r="I63" s="647"/>
      <c r="J63" s="647"/>
      <c r="K63" s="648"/>
    </row>
    <row r="64" spans="2:11" s="80" customFormat="1" ht="24" customHeight="1">
      <c r="B64" s="626" t="s">
        <v>325</v>
      </c>
      <c r="C64" s="627"/>
      <c r="D64" s="627"/>
      <c r="E64" s="627"/>
      <c r="F64" s="627"/>
      <c r="G64" s="627"/>
      <c r="H64" s="627"/>
      <c r="I64" s="627"/>
      <c r="J64" s="627"/>
      <c r="K64" s="628"/>
    </row>
    <row r="65" spans="2:11" ht="66.75" customHeight="1">
      <c r="B65" s="646" t="s">
        <v>326</v>
      </c>
      <c r="C65" s="647"/>
      <c r="D65" s="647"/>
      <c r="E65" s="647"/>
      <c r="F65" s="647"/>
      <c r="G65" s="647"/>
      <c r="H65" s="647"/>
      <c r="I65" s="647"/>
      <c r="J65" s="647"/>
      <c r="K65" s="648"/>
    </row>
    <row r="66" spans="2:11" ht="24" customHeight="1">
      <c r="B66" s="626" t="s">
        <v>327</v>
      </c>
      <c r="C66" s="627"/>
      <c r="D66" s="627"/>
      <c r="E66" s="627"/>
      <c r="F66" s="627"/>
      <c r="G66" s="627"/>
      <c r="H66" s="627"/>
      <c r="I66" s="627"/>
      <c r="J66" s="627"/>
      <c r="K66" s="628"/>
    </row>
    <row r="67" spans="2:11" ht="26.25" customHeight="1">
      <c r="B67" s="646" t="s">
        <v>328</v>
      </c>
      <c r="C67" s="647"/>
      <c r="D67" s="647"/>
      <c r="E67" s="647"/>
      <c r="F67" s="647"/>
      <c r="G67" s="647"/>
      <c r="H67" s="647"/>
      <c r="I67" s="647"/>
      <c r="J67" s="647"/>
      <c r="K67" s="648"/>
    </row>
    <row r="68" spans="2:11" ht="24" customHeight="1">
      <c r="B68" s="626" t="s">
        <v>329</v>
      </c>
      <c r="C68" s="627"/>
      <c r="D68" s="627"/>
      <c r="E68" s="627"/>
      <c r="F68" s="627"/>
      <c r="G68" s="627"/>
      <c r="H68" s="627"/>
      <c r="I68" s="627"/>
      <c r="J68" s="627"/>
      <c r="K68" s="628"/>
    </row>
    <row r="69" spans="2:11" ht="66.75" customHeight="1">
      <c r="B69" s="646" t="s">
        <v>330</v>
      </c>
      <c r="C69" s="647"/>
      <c r="D69" s="647"/>
      <c r="E69" s="647"/>
      <c r="F69" s="647"/>
      <c r="G69" s="647"/>
      <c r="H69" s="647"/>
      <c r="I69" s="647"/>
      <c r="J69" s="647"/>
      <c r="K69" s="648"/>
    </row>
    <row r="70" spans="2:11" s="24" customFormat="1" ht="21" customHeight="1">
      <c r="B70" s="107"/>
      <c r="C70" s="107"/>
      <c r="D70" s="107"/>
      <c r="E70" s="107"/>
      <c r="F70" s="107"/>
      <c r="G70" s="107"/>
      <c r="H70" s="107"/>
      <c r="I70" s="107"/>
      <c r="J70" s="107"/>
      <c r="K70" s="107"/>
    </row>
    <row r="71" spans="2:11" ht="15.75">
      <c r="B71" s="629" t="s">
        <v>331</v>
      </c>
      <c r="C71" s="629"/>
      <c r="D71" s="629"/>
      <c r="E71" s="629"/>
      <c r="F71" s="629"/>
      <c r="G71" s="629"/>
      <c r="H71" s="629"/>
      <c r="I71" s="629"/>
      <c r="J71" s="629"/>
      <c r="K71" s="629"/>
    </row>
    <row r="73" spans="3:5" ht="25.5">
      <c r="C73" s="564" t="s">
        <v>332</v>
      </c>
      <c r="D73" s="47" t="s">
        <v>333</v>
      </c>
      <c r="E73" s="47" t="s">
        <v>334</v>
      </c>
    </row>
    <row r="74" spans="3:5" ht="25.5">
      <c r="C74" s="565" t="s">
        <v>335</v>
      </c>
      <c r="D74" s="48" t="s">
        <v>336</v>
      </c>
      <c r="E74" s="48">
        <v>4.54609</v>
      </c>
    </row>
    <row r="75" spans="3:5" ht="25.5">
      <c r="C75" s="565" t="s">
        <v>337</v>
      </c>
      <c r="D75" s="48" t="s">
        <v>336</v>
      </c>
      <c r="E75" s="48">
        <v>3.785411784</v>
      </c>
    </row>
    <row r="76" spans="3:5" ht="12.75">
      <c r="C76" s="565" t="s">
        <v>338</v>
      </c>
      <c r="D76" s="48" t="s">
        <v>336</v>
      </c>
      <c r="E76" s="48">
        <v>1000</v>
      </c>
    </row>
    <row r="77" spans="3:5" ht="12.75">
      <c r="C77" s="565" t="s">
        <v>336</v>
      </c>
      <c r="D77" s="49" t="s">
        <v>338</v>
      </c>
      <c r="E77" s="48">
        <v>0.001</v>
      </c>
    </row>
    <row r="78" spans="3:5" ht="12.75">
      <c r="C78" s="565" t="s">
        <v>339</v>
      </c>
      <c r="D78" s="48" t="s">
        <v>336</v>
      </c>
      <c r="E78" s="48">
        <v>0.001</v>
      </c>
    </row>
  </sheetData>
  <sheetProtection sheet="1" objects="1" scenarios="1"/>
  <mergeCells count="48">
    <mergeCell ref="B69:K69"/>
    <mergeCell ref="B61:K61"/>
    <mergeCell ref="B63:K63"/>
    <mergeCell ref="B65:K65"/>
    <mergeCell ref="B68:K68"/>
    <mergeCell ref="B33:K33"/>
    <mergeCell ref="B55:K55"/>
    <mergeCell ref="B57:K57"/>
    <mergeCell ref="B67:K67"/>
    <mergeCell ref="B56:K56"/>
    <mergeCell ref="B66:K66"/>
    <mergeCell ref="B59:K59"/>
    <mergeCell ref="B62:K62"/>
    <mergeCell ref="B64:K64"/>
    <mergeCell ref="C41:K41"/>
    <mergeCell ref="C35:K35"/>
    <mergeCell ref="C44:K44"/>
    <mergeCell ref="C42:K42"/>
    <mergeCell ref="C43:K43"/>
    <mergeCell ref="B19:K19"/>
    <mergeCell ref="B9:K9"/>
    <mergeCell ref="B11:K11"/>
    <mergeCell ref="B31:K31"/>
    <mergeCell ref="B28:K28"/>
    <mergeCell ref="B26:K26"/>
    <mergeCell ref="B27:K27"/>
    <mergeCell ref="B13:K13"/>
    <mergeCell ref="B15:K15"/>
    <mergeCell ref="B58:K58"/>
    <mergeCell ref="B60:K60"/>
    <mergeCell ref="B52:K52"/>
    <mergeCell ref="B3:K3"/>
    <mergeCell ref="B29:K29"/>
    <mergeCell ref="B17:K17"/>
    <mergeCell ref="B21:K21"/>
    <mergeCell ref="B5:K5"/>
    <mergeCell ref="B25:K25"/>
    <mergeCell ref="B7:K7"/>
    <mergeCell ref="C50:K50"/>
    <mergeCell ref="B23:H23"/>
    <mergeCell ref="B54:K54"/>
    <mergeCell ref="B71:K71"/>
    <mergeCell ref="C39:K39"/>
    <mergeCell ref="C40:K40"/>
    <mergeCell ref="C34:K34"/>
    <mergeCell ref="C36:K36"/>
    <mergeCell ref="C38:K38"/>
    <mergeCell ref="C37:K37"/>
  </mergeCells>
  <printOptions horizontalCentered="1"/>
  <pageMargins left="0.56" right="0.4" top="0.65" bottom="1" header="0.43" footer="0.5"/>
  <pageSetup horizontalDpi="600" verticalDpi="600" orientation="landscape" paperSize="9" scale="95" r:id="rId1"/>
  <headerFooter alignWithMargins="0">
    <oddFooter>&amp;C&amp;"Arial,Regular"&amp;8Questionnaire UNSD/PNUE 2010 sur les Statistiques de l’environnement - Section d'eau - p.&amp;P</oddFooter>
  </headerFooter>
  <rowBreaks count="3" manualBreakCount="3">
    <brk id="30" max="255" man="1"/>
    <brk id="51" max="255" man="1"/>
    <brk id="63" max="255" man="1"/>
  </rowBreaks>
</worksheet>
</file>

<file path=xl/worksheets/sheet3.xml><?xml version="1.0" encoding="utf-8"?>
<worksheet xmlns="http://schemas.openxmlformats.org/spreadsheetml/2006/main" xmlns:r="http://schemas.openxmlformats.org/officeDocument/2006/relationships">
  <sheetPr codeName="Sheet3"/>
  <dimension ref="A1:P63"/>
  <sheetViews>
    <sheetView showGridLines="0" showRowColHeaders="0" zoomScaleSheetLayoutView="50" workbookViewId="0" topLeftCell="A40">
      <selection activeCell="B6" sqref="B6:D6"/>
    </sheetView>
  </sheetViews>
  <sheetFormatPr defaultColWidth="9.33203125" defaultRowHeight="12.75"/>
  <cols>
    <col min="1" max="1" width="3.33203125" style="2" customWidth="1"/>
    <col min="2" max="2" width="11.83203125" style="98" customWidth="1"/>
    <col min="3" max="3" width="33.83203125" style="39" customWidth="1"/>
    <col min="4" max="4" width="121" style="39" customWidth="1"/>
    <col min="5" max="5" width="5.5" style="264" customWidth="1"/>
    <col min="6" max="6" width="5.5" style="2" customWidth="1"/>
    <col min="7" max="10" width="9.33203125" style="2" customWidth="1"/>
    <col min="11" max="11" width="20.5" style="2" customWidth="1"/>
    <col min="12" max="16384" width="9.33203125" style="2" customWidth="1"/>
  </cols>
  <sheetData>
    <row r="1" spans="2:11" ht="15.75">
      <c r="B1" s="124" t="s">
        <v>263</v>
      </c>
      <c r="C1"/>
      <c r="D1"/>
      <c r="E1"/>
      <c r="F1"/>
      <c r="G1"/>
      <c r="H1"/>
      <c r="I1"/>
      <c r="J1"/>
      <c r="K1"/>
    </row>
    <row r="2" spans="2:11" ht="3" customHeight="1">
      <c r="B2"/>
      <c r="C2"/>
      <c r="D2"/>
      <c r="E2"/>
      <c r="F2"/>
      <c r="G2"/>
      <c r="H2"/>
      <c r="I2"/>
      <c r="J2"/>
      <c r="K2"/>
    </row>
    <row r="3" spans="2:11" ht="18">
      <c r="B3" s="637" t="s">
        <v>265</v>
      </c>
      <c r="C3" s="637"/>
      <c r="D3" s="637"/>
      <c r="E3" s="566"/>
      <c r="F3" s="566"/>
      <c r="G3" s="566"/>
      <c r="H3" s="566"/>
      <c r="I3" s="566"/>
      <c r="J3" s="566"/>
      <c r="K3" s="566"/>
    </row>
    <row r="4" spans="2:11" ht="6" customHeight="1">
      <c r="B4"/>
      <c r="C4" s="31"/>
      <c r="D4"/>
      <c r="E4" s="24"/>
      <c r="F4" s="24"/>
      <c r="G4" s="24"/>
      <c r="H4" s="24"/>
      <c r="I4" s="24"/>
      <c r="J4" s="24"/>
      <c r="K4" s="24"/>
    </row>
    <row r="5" spans="2:11" ht="15.75">
      <c r="B5" s="639" t="s">
        <v>285</v>
      </c>
      <c r="C5" s="639"/>
      <c r="D5" s="639"/>
      <c r="E5" s="354"/>
      <c r="F5" s="354"/>
      <c r="G5" s="354"/>
      <c r="H5" s="354"/>
      <c r="I5" s="354"/>
      <c r="J5" s="354"/>
      <c r="K5" s="354"/>
    </row>
    <row r="6" spans="2:5" s="27" customFormat="1" ht="40.5" customHeight="1" thickBot="1">
      <c r="B6" s="650" t="s">
        <v>340</v>
      </c>
      <c r="C6" s="651"/>
      <c r="D6" s="651"/>
      <c r="E6" s="567"/>
    </row>
    <row r="7" spans="2:4" ht="40.5" customHeight="1">
      <c r="B7" s="568" t="s">
        <v>341</v>
      </c>
      <c r="C7" s="569" t="s">
        <v>342</v>
      </c>
      <c r="D7" s="570" t="s">
        <v>343</v>
      </c>
    </row>
    <row r="8" spans="2:5" s="27" customFormat="1" ht="127.5" customHeight="1">
      <c r="B8" s="210" t="s">
        <v>526</v>
      </c>
      <c r="C8" s="93" t="s">
        <v>344</v>
      </c>
      <c r="D8" s="211" t="s">
        <v>345</v>
      </c>
      <c r="E8" s="560"/>
    </row>
    <row r="9" spans="2:5" s="27" customFormat="1" ht="116.25" customHeight="1">
      <c r="B9" s="210" t="s">
        <v>660</v>
      </c>
      <c r="C9" s="93" t="s">
        <v>346</v>
      </c>
      <c r="D9" s="211" t="s">
        <v>347</v>
      </c>
      <c r="E9" s="560"/>
    </row>
    <row r="10" spans="2:5" s="27" customFormat="1" ht="66" customHeight="1">
      <c r="B10" s="212" t="s">
        <v>629</v>
      </c>
      <c r="C10" s="93" t="s">
        <v>348</v>
      </c>
      <c r="D10" s="211" t="s">
        <v>350</v>
      </c>
      <c r="E10" s="560"/>
    </row>
    <row r="11" spans="2:5" s="27" customFormat="1" ht="64.5" customHeight="1">
      <c r="B11" s="213" t="s">
        <v>525</v>
      </c>
      <c r="C11" s="93" t="s">
        <v>351</v>
      </c>
      <c r="D11" s="211" t="s">
        <v>352</v>
      </c>
      <c r="E11" s="560"/>
    </row>
    <row r="12" spans="2:5" s="27" customFormat="1" ht="39.75" customHeight="1">
      <c r="B12" s="213" t="s">
        <v>353</v>
      </c>
      <c r="C12" s="93" t="s">
        <v>354</v>
      </c>
      <c r="D12" s="500" t="s">
        <v>355</v>
      </c>
      <c r="E12" s="267"/>
    </row>
    <row r="13" spans="2:4" ht="29.25" customHeight="1" thickBot="1">
      <c r="B13" s="223"/>
      <c r="C13" s="571" t="s">
        <v>356</v>
      </c>
      <c r="D13" s="214" t="s">
        <v>357</v>
      </c>
    </row>
    <row r="14" spans="3:4" ht="15" customHeight="1">
      <c r="C14" s="90"/>
      <c r="D14" s="91"/>
    </row>
    <row r="15" spans="2:4" ht="18" customHeight="1" thickBot="1">
      <c r="B15" s="649" t="s">
        <v>267</v>
      </c>
      <c r="C15" s="649"/>
      <c r="D15" s="649"/>
    </row>
    <row r="16" spans="2:8" ht="32.25" customHeight="1">
      <c r="B16" s="572" t="s">
        <v>549</v>
      </c>
      <c r="C16" s="569" t="s">
        <v>528</v>
      </c>
      <c r="D16" s="570" t="s">
        <v>172</v>
      </c>
      <c r="E16" s="567"/>
      <c r="F16" s="27"/>
      <c r="G16" s="27"/>
      <c r="H16" s="27"/>
    </row>
    <row r="17" spans="2:8" ht="28.5" customHeight="1">
      <c r="B17" s="97" t="s">
        <v>550</v>
      </c>
      <c r="C17" s="573" t="s">
        <v>358</v>
      </c>
      <c r="D17" s="87" t="s">
        <v>359</v>
      </c>
      <c r="E17" s="567"/>
      <c r="F17" s="27"/>
      <c r="G17" s="27"/>
      <c r="H17" s="27"/>
    </row>
    <row r="18" spans="2:8" ht="66.75" customHeight="1">
      <c r="B18" s="574" t="s">
        <v>551</v>
      </c>
      <c r="C18" s="573" t="s">
        <v>360</v>
      </c>
      <c r="D18" s="575" t="s">
        <v>361</v>
      </c>
      <c r="E18" s="567"/>
      <c r="F18" s="27"/>
      <c r="G18" s="27"/>
      <c r="H18" s="27"/>
    </row>
    <row r="19" spans="2:8" ht="64.5" customHeight="1">
      <c r="B19" s="97" t="s">
        <v>552</v>
      </c>
      <c r="C19" s="573" t="s">
        <v>362</v>
      </c>
      <c r="D19" s="87" t="s">
        <v>363</v>
      </c>
      <c r="E19" s="567"/>
      <c r="F19" s="27"/>
      <c r="G19" s="27"/>
      <c r="H19" s="27"/>
    </row>
    <row r="20" spans="2:8" ht="40.5" customHeight="1">
      <c r="B20" s="574" t="s">
        <v>553</v>
      </c>
      <c r="C20" s="576" t="s">
        <v>364</v>
      </c>
      <c r="D20" s="87" t="s">
        <v>365</v>
      </c>
      <c r="E20" s="567"/>
      <c r="F20" s="27"/>
      <c r="G20" s="27"/>
      <c r="H20" s="27"/>
    </row>
    <row r="21" spans="2:8" ht="31.5" customHeight="1">
      <c r="B21" s="574" t="s">
        <v>554</v>
      </c>
      <c r="C21" s="86" t="s">
        <v>270</v>
      </c>
      <c r="D21" s="575" t="s">
        <v>366</v>
      </c>
      <c r="E21" s="567"/>
      <c r="F21" s="27"/>
      <c r="G21" s="27"/>
      <c r="H21" s="27"/>
    </row>
    <row r="22" spans="2:8" ht="28.5" customHeight="1">
      <c r="B22" s="574" t="s">
        <v>555</v>
      </c>
      <c r="C22" s="576" t="s">
        <v>367</v>
      </c>
      <c r="D22" s="87" t="s">
        <v>368</v>
      </c>
      <c r="E22" s="567"/>
      <c r="F22" s="27"/>
      <c r="G22" s="27"/>
      <c r="H22" s="27"/>
    </row>
    <row r="23" spans="2:8" ht="27.75" customHeight="1">
      <c r="B23" s="97" t="s">
        <v>631</v>
      </c>
      <c r="C23" s="573" t="s">
        <v>369</v>
      </c>
      <c r="D23" s="575" t="s">
        <v>370</v>
      </c>
      <c r="E23" s="567"/>
      <c r="F23" s="27"/>
      <c r="G23" s="27"/>
      <c r="H23" s="27"/>
    </row>
    <row r="24" spans="1:8" ht="93" customHeight="1">
      <c r="A24" s="27"/>
      <c r="B24" s="97" t="s">
        <v>642</v>
      </c>
      <c r="C24" s="86" t="s">
        <v>371</v>
      </c>
      <c r="D24" s="89" t="s">
        <v>372</v>
      </c>
      <c r="E24" s="567"/>
      <c r="F24" s="27"/>
      <c r="G24" s="27"/>
      <c r="H24" s="27"/>
    </row>
    <row r="25" spans="2:5" s="27" customFormat="1" ht="78.75" customHeight="1">
      <c r="B25" s="97" t="s">
        <v>642</v>
      </c>
      <c r="C25" s="86" t="s">
        <v>373</v>
      </c>
      <c r="D25" s="89" t="s">
        <v>679</v>
      </c>
      <c r="E25" s="567"/>
    </row>
    <row r="26" spans="2:8" ht="43.5" customHeight="1">
      <c r="B26" s="577" t="s">
        <v>664</v>
      </c>
      <c r="C26" s="86" t="s">
        <v>680</v>
      </c>
      <c r="D26" s="89" t="s">
        <v>681</v>
      </c>
      <c r="E26" s="567"/>
      <c r="F26" s="27"/>
      <c r="G26" s="27"/>
      <c r="H26" s="27"/>
    </row>
    <row r="27" spans="2:5" s="27" customFormat="1" ht="64.5" customHeight="1">
      <c r="B27" s="97" t="s">
        <v>556</v>
      </c>
      <c r="C27" s="93" t="s">
        <v>682</v>
      </c>
      <c r="D27" s="88" t="s">
        <v>683</v>
      </c>
      <c r="E27" s="567"/>
    </row>
    <row r="28" spans="2:5" s="27" customFormat="1" ht="65.25" customHeight="1">
      <c r="B28" s="501" t="s">
        <v>604</v>
      </c>
      <c r="C28" s="93" t="s">
        <v>684</v>
      </c>
      <c r="D28" s="502" t="s">
        <v>685</v>
      </c>
      <c r="E28" s="567"/>
    </row>
    <row r="29" spans="2:5" s="27" customFormat="1" ht="52.5" customHeight="1">
      <c r="B29" s="97" t="s">
        <v>514</v>
      </c>
      <c r="C29" s="86" t="s">
        <v>686</v>
      </c>
      <c r="D29" s="89" t="s">
        <v>687</v>
      </c>
      <c r="E29" s="567"/>
    </row>
    <row r="30" spans="2:8" ht="39" customHeight="1">
      <c r="B30" s="97" t="s">
        <v>567</v>
      </c>
      <c r="C30" s="86" t="s">
        <v>688</v>
      </c>
      <c r="D30" s="89" t="s">
        <v>689</v>
      </c>
      <c r="E30" s="567"/>
      <c r="F30" s="27"/>
      <c r="G30" s="27"/>
      <c r="H30" s="27"/>
    </row>
    <row r="31" spans="2:8" ht="30.75" customHeight="1">
      <c r="B31" s="97" t="s">
        <v>508</v>
      </c>
      <c r="C31" s="86" t="s">
        <v>690</v>
      </c>
      <c r="D31" s="89" t="s">
        <v>691</v>
      </c>
      <c r="E31" s="567"/>
      <c r="F31" s="27"/>
      <c r="G31" s="27"/>
      <c r="H31" s="27"/>
    </row>
    <row r="32" spans="2:8" ht="15" customHeight="1">
      <c r="B32" s="97" t="s">
        <v>509</v>
      </c>
      <c r="C32" s="86" t="s">
        <v>692</v>
      </c>
      <c r="D32" s="88" t="s">
        <v>693</v>
      </c>
      <c r="E32" s="567"/>
      <c r="F32" s="27"/>
      <c r="G32" s="27"/>
      <c r="H32" s="27"/>
    </row>
    <row r="33" spans="2:8" ht="27.75" customHeight="1">
      <c r="B33" s="97" t="s">
        <v>510</v>
      </c>
      <c r="C33" s="93" t="s">
        <v>694</v>
      </c>
      <c r="D33" s="88" t="s">
        <v>695</v>
      </c>
      <c r="E33" s="567"/>
      <c r="F33" s="27"/>
      <c r="G33" s="27"/>
      <c r="H33" s="27"/>
    </row>
    <row r="34" spans="2:8" ht="27" customHeight="1">
      <c r="B34" s="97" t="s">
        <v>511</v>
      </c>
      <c r="C34" s="86" t="s">
        <v>696</v>
      </c>
      <c r="D34" s="88" t="s">
        <v>697</v>
      </c>
      <c r="E34" s="567"/>
      <c r="F34" s="27"/>
      <c r="G34" s="27"/>
      <c r="H34" s="27"/>
    </row>
    <row r="35" spans="2:8" ht="27.75" customHeight="1">
      <c r="B35" s="97" t="s">
        <v>512</v>
      </c>
      <c r="C35" s="86" t="s">
        <v>698</v>
      </c>
      <c r="D35" s="88" t="s">
        <v>699</v>
      </c>
      <c r="E35" s="567"/>
      <c r="F35" s="27"/>
      <c r="G35" s="27"/>
      <c r="H35" s="27"/>
    </row>
    <row r="36" spans="2:8" ht="27.75" customHeight="1">
      <c r="B36" s="97" t="s">
        <v>513</v>
      </c>
      <c r="C36" s="93" t="s">
        <v>700</v>
      </c>
      <c r="D36" s="88" t="s">
        <v>701</v>
      </c>
      <c r="E36" s="567"/>
      <c r="F36" s="27"/>
      <c r="G36" s="27"/>
      <c r="H36" s="27"/>
    </row>
    <row r="37" spans="2:8" ht="42" customHeight="1">
      <c r="B37" s="501" t="s">
        <v>146</v>
      </c>
      <c r="C37" s="86" t="s">
        <v>702</v>
      </c>
      <c r="D37" s="211" t="s">
        <v>703</v>
      </c>
      <c r="E37" s="567"/>
      <c r="F37" s="27"/>
      <c r="G37" s="27"/>
      <c r="H37" s="27"/>
    </row>
    <row r="38" spans="2:8" ht="79.5" customHeight="1">
      <c r="B38" s="501" t="s">
        <v>147</v>
      </c>
      <c r="C38" s="86" t="s">
        <v>704</v>
      </c>
      <c r="D38" s="88" t="s">
        <v>705</v>
      </c>
      <c r="E38" s="567"/>
      <c r="F38" s="27"/>
      <c r="G38" s="27"/>
      <c r="H38" s="27"/>
    </row>
    <row r="39" spans="2:8" ht="30" customHeight="1">
      <c r="B39" s="503" t="s">
        <v>606</v>
      </c>
      <c r="C39" s="103" t="s">
        <v>706</v>
      </c>
      <c r="D39" s="504" t="s">
        <v>707</v>
      </c>
      <c r="E39" s="567"/>
      <c r="F39" s="27"/>
      <c r="G39" s="27"/>
      <c r="H39" s="27"/>
    </row>
    <row r="40" spans="1:5" s="27" customFormat="1" ht="26.25" customHeight="1">
      <c r="A40" s="2"/>
      <c r="B40" s="505" t="s">
        <v>148</v>
      </c>
      <c r="C40" s="506" t="s">
        <v>708</v>
      </c>
      <c r="D40" s="123" t="s">
        <v>709</v>
      </c>
      <c r="E40" s="567"/>
    </row>
    <row r="41" spans="1:8" ht="54" customHeight="1">
      <c r="A41" s="27"/>
      <c r="B41" s="97" t="s">
        <v>557</v>
      </c>
      <c r="C41" s="86" t="s">
        <v>710</v>
      </c>
      <c r="D41" s="578" t="s">
        <v>711</v>
      </c>
      <c r="E41" s="567"/>
      <c r="F41" s="27"/>
      <c r="G41" s="27"/>
      <c r="H41" s="27"/>
    </row>
    <row r="42" spans="2:5" s="27" customFormat="1" ht="53.25" customHeight="1">
      <c r="B42" s="97" t="s">
        <v>517</v>
      </c>
      <c r="C42" s="86" t="s">
        <v>712</v>
      </c>
      <c r="D42" s="578" t="s">
        <v>713</v>
      </c>
      <c r="E42" s="567"/>
    </row>
    <row r="43" spans="2:5" s="27" customFormat="1" ht="53.25" customHeight="1">
      <c r="B43" s="97" t="s">
        <v>607</v>
      </c>
      <c r="C43" s="86" t="s">
        <v>714</v>
      </c>
      <c r="D43" s="575" t="s">
        <v>715</v>
      </c>
      <c r="E43" s="567"/>
    </row>
    <row r="44" spans="2:5" s="27" customFormat="1" ht="28.5" customHeight="1">
      <c r="B44" s="97" t="s">
        <v>153</v>
      </c>
      <c r="C44" s="93" t="s">
        <v>716</v>
      </c>
      <c r="D44" s="575" t="s">
        <v>717</v>
      </c>
      <c r="E44" s="567"/>
    </row>
    <row r="45" spans="1:5" s="27" customFormat="1" ht="38.25" customHeight="1">
      <c r="A45" s="2"/>
      <c r="B45" s="97" t="s">
        <v>153</v>
      </c>
      <c r="C45" s="86" t="s">
        <v>718</v>
      </c>
      <c r="D45" s="88" t="s">
        <v>719</v>
      </c>
      <c r="E45" s="567"/>
    </row>
    <row r="46" spans="1:5" s="27" customFormat="1" ht="27.75" customHeight="1">
      <c r="A46" s="2"/>
      <c r="B46" s="97" t="s">
        <v>153</v>
      </c>
      <c r="C46" s="86" t="s">
        <v>720</v>
      </c>
      <c r="D46" s="88" t="s">
        <v>721</v>
      </c>
      <c r="E46" s="567"/>
    </row>
    <row r="47" spans="1:5" s="27" customFormat="1" ht="54" customHeight="1">
      <c r="A47" s="2"/>
      <c r="B47" s="97" t="s">
        <v>153</v>
      </c>
      <c r="C47" s="86" t="s">
        <v>722</v>
      </c>
      <c r="D47" s="88" t="s">
        <v>723</v>
      </c>
      <c r="E47" s="567"/>
    </row>
    <row r="48" spans="2:8" ht="69" customHeight="1">
      <c r="B48" s="97" t="s">
        <v>153</v>
      </c>
      <c r="C48" s="86" t="s">
        <v>724</v>
      </c>
      <c r="D48" s="88" t="s">
        <v>725</v>
      </c>
      <c r="E48" s="567"/>
      <c r="F48" s="27"/>
      <c r="G48" s="27"/>
      <c r="H48" s="27"/>
    </row>
    <row r="49" spans="2:8" ht="86.25" customHeight="1">
      <c r="B49" s="97" t="s">
        <v>153</v>
      </c>
      <c r="C49" s="86" t="s">
        <v>726</v>
      </c>
      <c r="D49" s="88" t="s">
        <v>0</v>
      </c>
      <c r="E49" s="567"/>
      <c r="F49" s="27"/>
      <c r="G49" s="27"/>
      <c r="H49" s="27"/>
    </row>
    <row r="50" spans="1:8" ht="51.75" customHeight="1">
      <c r="A50" s="27"/>
      <c r="B50" s="97" t="s">
        <v>153</v>
      </c>
      <c r="C50" s="86" t="s">
        <v>1</v>
      </c>
      <c r="D50" s="88" t="s">
        <v>2</v>
      </c>
      <c r="E50" s="567"/>
      <c r="F50" s="27"/>
      <c r="G50" s="27"/>
      <c r="H50" s="27"/>
    </row>
    <row r="51" spans="1:8" ht="15.75" customHeight="1">
      <c r="A51" s="27"/>
      <c r="B51" s="574" t="s">
        <v>558</v>
      </c>
      <c r="C51" s="93" t="s">
        <v>3</v>
      </c>
      <c r="D51" s="578" t="s">
        <v>4</v>
      </c>
      <c r="E51" s="567"/>
      <c r="F51" s="27"/>
      <c r="G51" s="27"/>
      <c r="H51" s="27"/>
    </row>
    <row r="52" spans="2:5" s="27" customFormat="1" ht="41.25" customHeight="1">
      <c r="B52" s="574" t="s">
        <v>559</v>
      </c>
      <c r="C52" s="86" t="s">
        <v>5</v>
      </c>
      <c r="D52" s="575" t="s">
        <v>6</v>
      </c>
      <c r="E52" s="567"/>
    </row>
    <row r="53" spans="1:5" s="27" customFormat="1" ht="51.75" customHeight="1">
      <c r="A53" s="2"/>
      <c r="B53" s="574" t="s">
        <v>559</v>
      </c>
      <c r="C53" s="93" t="s">
        <v>7</v>
      </c>
      <c r="D53" s="578" t="s">
        <v>8</v>
      </c>
      <c r="E53" s="567"/>
    </row>
    <row r="54" spans="1:5" s="27" customFormat="1" ht="14.25" customHeight="1">
      <c r="A54" s="92"/>
      <c r="B54" s="574" t="s">
        <v>560</v>
      </c>
      <c r="C54" s="93" t="s">
        <v>9</v>
      </c>
      <c r="D54" s="578" t="s">
        <v>10</v>
      </c>
      <c r="E54" s="567"/>
    </row>
    <row r="55" spans="2:8" ht="52.5" customHeight="1">
      <c r="B55" s="574" t="s">
        <v>561</v>
      </c>
      <c r="C55" s="93" t="s">
        <v>11</v>
      </c>
      <c r="D55" s="579" t="s">
        <v>12</v>
      </c>
      <c r="E55" s="567"/>
      <c r="F55" s="27"/>
      <c r="G55" s="27"/>
      <c r="H55" s="27"/>
    </row>
    <row r="56" spans="1:8" s="92" customFormat="1" ht="41.25" customHeight="1">
      <c r="A56" s="2"/>
      <c r="B56" s="97" t="s">
        <v>149</v>
      </c>
      <c r="C56" s="86" t="s">
        <v>13</v>
      </c>
      <c r="D56" s="88" t="s">
        <v>14</v>
      </c>
      <c r="E56" s="567"/>
      <c r="F56" s="580"/>
      <c r="G56" s="580"/>
      <c r="H56" s="580"/>
    </row>
    <row r="57" spans="2:8" ht="40.5" customHeight="1">
      <c r="B57" s="97" t="s">
        <v>563</v>
      </c>
      <c r="C57" s="86" t="s">
        <v>15</v>
      </c>
      <c r="D57" s="88" t="s">
        <v>16</v>
      </c>
      <c r="E57" s="567"/>
      <c r="F57" s="27"/>
      <c r="G57" s="27"/>
      <c r="H57" s="27"/>
    </row>
    <row r="58" spans="1:8" ht="27.75" customHeight="1">
      <c r="A58" s="27"/>
      <c r="B58" s="97" t="s">
        <v>564</v>
      </c>
      <c r="C58" s="86" t="s">
        <v>17</v>
      </c>
      <c r="D58" s="88" t="s">
        <v>18</v>
      </c>
      <c r="E58" s="567"/>
      <c r="F58" s="27"/>
      <c r="G58" s="27"/>
      <c r="H58" s="27"/>
    </row>
    <row r="59" spans="1:8" ht="54" customHeight="1">
      <c r="A59" s="27"/>
      <c r="B59" s="97" t="s">
        <v>566</v>
      </c>
      <c r="C59" s="86" t="s">
        <v>19</v>
      </c>
      <c r="D59" s="88" t="s">
        <v>20</v>
      </c>
      <c r="E59" s="567"/>
      <c r="F59" s="27"/>
      <c r="G59" s="27"/>
      <c r="H59" s="27"/>
    </row>
    <row r="60" spans="2:5" s="27" customFormat="1" ht="27" customHeight="1">
      <c r="B60" s="97" t="s">
        <v>565</v>
      </c>
      <c r="C60" s="86" t="s">
        <v>21</v>
      </c>
      <c r="D60" s="88" t="s">
        <v>22</v>
      </c>
      <c r="E60" s="567"/>
    </row>
    <row r="61" spans="1:5" s="27" customFormat="1" ht="27.75" customHeight="1">
      <c r="A61" s="2"/>
      <c r="B61" s="97"/>
      <c r="C61" s="86" t="s">
        <v>23</v>
      </c>
      <c r="D61" s="88" t="s">
        <v>24</v>
      </c>
      <c r="E61" s="567"/>
    </row>
    <row r="62" spans="2:16" ht="39.75" customHeight="1">
      <c r="B62" s="574"/>
      <c r="C62" s="103" t="s">
        <v>25</v>
      </c>
      <c r="D62" s="100" t="s">
        <v>26</v>
      </c>
      <c r="E62" s="567"/>
      <c r="F62" s="27"/>
      <c r="G62" s="27"/>
      <c r="H62" s="27"/>
      <c r="I62" s="27"/>
      <c r="J62" s="27"/>
      <c r="K62" s="27"/>
      <c r="L62" s="27"/>
      <c r="M62" s="27"/>
      <c r="N62" s="27"/>
      <c r="O62" s="27"/>
      <c r="P62" s="27"/>
    </row>
    <row r="63" spans="2:16" ht="40.5" customHeight="1" thickBot="1">
      <c r="B63" s="581"/>
      <c r="C63" s="104" t="s">
        <v>27</v>
      </c>
      <c r="D63" s="101" t="s">
        <v>28</v>
      </c>
      <c r="E63" s="567"/>
      <c r="F63" s="27"/>
      <c r="G63" s="27"/>
      <c r="H63" s="27"/>
      <c r="I63" s="27"/>
      <c r="J63" s="27"/>
      <c r="K63" s="27"/>
      <c r="L63" s="27"/>
      <c r="M63" s="27"/>
      <c r="N63" s="27"/>
      <c r="O63" s="27"/>
      <c r="P63" s="27"/>
    </row>
  </sheetData>
  <sheetProtection sheet="1" objects="1" scenarios="1"/>
  <mergeCells count="4">
    <mergeCell ref="B3:D3"/>
    <mergeCell ref="B5:D5"/>
    <mergeCell ref="B15:D15"/>
    <mergeCell ref="B6:D6"/>
  </mergeCells>
  <printOptions horizontalCentered="1"/>
  <pageMargins left="0.56" right="0.4" top="0.18" bottom="0.5" header="0.25" footer="0.21"/>
  <pageSetup fitToHeight="6" horizontalDpi="600" verticalDpi="600" orientation="landscape" paperSize="9" scale="87" r:id="rId1"/>
  <headerFooter alignWithMargins="0">
    <oddFooter>&amp;C&amp;"Arial,Regular"&amp;8Questionnaire UNSD/PNUE 2010 sur les Statistiques de l’environnement - Section d'eau - p.&amp;P</oddFooter>
  </headerFooter>
  <rowBreaks count="3" manualBreakCount="3">
    <brk id="13" min="1" max="3" man="1"/>
    <brk id="25" min="1" max="3" man="1"/>
    <brk id="38" min="1" max="3" man="1"/>
  </rowBreaks>
</worksheet>
</file>

<file path=xl/worksheets/sheet4.xml><?xml version="1.0" encoding="utf-8"?>
<worksheet xmlns="http://schemas.openxmlformats.org/spreadsheetml/2006/main" xmlns:r="http://schemas.openxmlformats.org/officeDocument/2006/relationships">
  <sheetPr codeName="Sheet12"/>
  <dimension ref="A1:DU72"/>
  <sheetViews>
    <sheetView showGridLines="0" zoomScale="70" zoomScaleNormal="70" zoomScaleSheetLayoutView="50" workbookViewId="0" topLeftCell="A1">
      <selection activeCell="B6" sqref="B6:D6"/>
    </sheetView>
  </sheetViews>
  <sheetFormatPr defaultColWidth="9.33203125" defaultRowHeight="12.75"/>
  <cols>
    <col min="1" max="2" width="2.5" style="243" customWidth="1"/>
    <col min="3" max="3" width="2" style="243" customWidth="1"/>
    <col min="4" max="4" width="2.33203125" style="243" customWidth="1"/>
    <col min="5" max="5" width="17.83203125" style="243" customWidth="1"/>
    <col min="6" max="6" width="17" style="243" customWidth="1"/>
    <col min="7" max="7" width="19.33203125" style="243" customWidth="1"/>
    <col min="8" max="8" width="19.83203125" style="243" customWidth="1"/>
    <col min="9" max="9" width="19.16015625" style="243" customWidth="1"/>
    <col min="10" max="10" width="21.5" style="243" customWidth="1"/>
    <col min="11" max="11" width="2.16015625" style="243" customWidth="1"/>
    <col min="12" max="12" width="16.83203125" style="243" customWidth="1"/>
    <col min="13" max="13" width="3.16015625" style="243" customWidth="1"/>
    <col min="14" max="14" width="23.33203125" style="243" customWidth="1"/>
    <col min="15" max="15" width="13.83203125" style="243" customWidth="1"/>
    <col min="16" max="16" width="19" style="243" customWidth="1"/>
    <col min="17" max="17" width="10.33203125" style="243" customWidth="1"/>
    <col min="18" max="18" width="21.66015625" style="243" customWidth="1"/>
    <col min="19" max="19" width="5.5" style="243" customWidth="1"/>
    <col min="20" max="20" width="9" style="243" customWidth="1"/>
    <col min="21" max="21" width="7.83203125" style="243" customWidth="1"/>
    <col min="22" max="22" width="24.5" style="243" customWidth="1"/>
    <col min="23" max="23" width="6.33203125" style="243" customWidth="1"/>
    <col min="24" max="24" width="2.66015625" style="243" customWidth="1"/>
    <col min="25" max="25" width="16.5" style="243" customWidth="1"/>
    <col min="26" max="26" width="2.16015625" style="243" customWidth="1"/>
    <col min="27" max="27" width="12" style="243" bestFit="1" customWidth="1"/>
    <col min="28" max="28" width="8.16015625" style="243" customWidth="1"/>
    <col min="29" max="29" width="17" style="243" customWidth="1"/>
    <col min="30" max="30" width="2.33203125" style="243" customWidth="1"/>
    <col min="31" max="31" width="12" style="243" bestFit="1" customWidth="1"/>
    <col min="32" max="32" width="8.5" style="243" customWidth="1"/>
    <col min="33" max="33" width="16.66015625" style="243" customWidth="1"/>
    <col min="34" max="34" width="2.66015625" style="243" customWidth="1"/>
    <col min="35" max="35" width="12" style="243" bestFit="1" customWidth="1"/>
    <col min="36" max="36" width="8.83203125" style="243" customWidth="1"/>
    <col min="37" max="37" width="17.66015625" style="243" customWidth="1"/>
    <col min="38" max="38" width="2.16015625" style="243" customWidth="1"/>
    <col min="39" max="39" width="12" style="243" bestFit="1" customWidth="1"/>
    <col min="40" max="40" width="3.16015625" style="243" customWidth="1"/>
    <col min="41" max="41" width="11.83203125" style="243" customWidth="1"/>
    <col min="42" max="42" width="4" style="243" customWidth="1"/>
    <col min="43" max="43" width="11.5" style="243" customWidth="1"/>
    <col min="44" max="44" width="2.5" style="243" customWidth="1"/>
    <col min="45" max="45" width="9.33203125" style="243" customWidth="1"/>
    <col min="46" max="46" width="2" style="243" customWidth="1"/>
    <col min="47" max="47" width="2.66015625" style="243" customWidth="1"/>
    <col min="48" max="16384" width="9.33203125" style="243" customWidth="1"/>
  </cols>
  <sheetData>
    <row r="1" spans="1:125" ht="15.75">
      <c r="A1" s="241"/>
      <c r="B1" s="241"/>
      <c r="C1" s="241"/>
      <c r="D1" s="241"/>
      <c r="E1" s="242" t="s">
        <v>263</v>
      </c>
      <c r="F1" s="242"/>
      <c r="G1" s="242"/>
      <c r="H1" s="242"/>
      <c r="I1" s="242"/>
      <c r="J1" s="242"/>
      <c r="K1" s="242"/>
      <c r="L1" s="242"/>
      <c r="M1" s="242"/>
      <c r="N1" s="242"/>
      <c r="O1" s="242"/>
      <c r="P1" s="242"/>
      <c r="Q1" s="242"/>
      <c r="R1" s="242"/>
      <c r="S1" s="242"/>
      <c r="T1" s="242"/>
      <c r="U1" s="242"/>
      <c r="V1" s="242"/>
      <c r="W1" s="242"/>
      <c r="X1" s="242"/>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5"/>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ht="10.5" customHeight="1">
      <c r="A2" s="241"/>
      <c r="B2" s="241"/>
      <c r="C2" s="241"/>
      <c r="D2" s="241"/>
      <c r="F2" s="244"/>
      <c r="G2" s="244"/>
      <c r="H2" s="245"/>
      <c r="I2" s="246"/>
      <c r="J2" s="247"/>
      <c r="K2" s="248"/>
      <c r="L2" s="249"/>
      <c r="M2" s="248"/>
      <c r="N2" s="249"/>
      <c r="O2" s="248"/>
      <c r="P2" s="249"/>
      <c r="Q2" s="248"/>
      <c r="R2" s="249"/>
      <c r="S2" s="248"/>
      <c r="T2" s="248"/>
      <c r="U2" s="250"/>
      <c r="V2" s="248"/>
      <c r="W2" s="248"/>
      <c r="X2" s="247"/>
      <c r="Y2" s="197"/>
      <c r="Z2" s="174"/>
      <c r="AA2" s="197"/>
      <c r="AB2" s="174"/>
      <c r="AC2" s="197"/>
      <c r="AD2" s="174"/>
      <c r="AE2" s="197"/>
      <c r="AF2" s="174"/>
      <c r="AG2" s="197"/>
      <c r="AH2" s="175"/>
      <c r="AI2" s="197"/>
      <c r="AJ2" s="174"/>
      <c r="AK2" s="197"/>
      <c r="AL2" s="174"/>
      <c r="AM2" s="197"/>
      <c r="AN2" s="174"/>
      <c r="AO2" s="197"/>
      <c r="AP2" s="355"/>
      <c r="AQ2" s="355"/>
      <c r="AR2" s="355"/>
      <c r="AS2" s="355"/>
      <c r="AT2" s="355"/>
      <c r="AU2" s="355"/>
      <c r="AV2" s="355"/>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row>
    <row r="3" spans="1:125" s="217" customFormat="1" ht="3.75" customHeight="1">
      <c r="A3" s="509"/>
      <c r="B3" s="509"/>
      <c r="C3" s="509"/>
      <c r="D3" s="509"/>
      <c r="E3" s="582"/>
      <c r="F3" s="583"/>
      <c r="G3" s="583"/>
      <c r="H3" s="582"/>
      <c r="I3" s="583"/>
      <c r="J3" s="584"/>
      <c r="K3" s="585"/>
      <c r="L3" s="586"/>
      <c r="M3" s="585"/>
      <c r="N3" s="238"/>
      <c r="O3" s="585"/>
      <c r="P3" s="584"/>
      <c r="Q3" s="585"/>
      <c r="R3" s="584"/>
      <c r="S3" s="585"/>
      <c r="T3" s="585"/>
      <c r="U3" s="584"/>
      <c r="V3" s="585"/>
      <c r="W3" s="585"/>
      <c r="X3" s="584"/>
      <c r="Y3" s="357"/>
      <c r="Z3" s="357"/>
      <c r="AA3" s="357"/>
      <c r="AB3" s="357"/>
      <c r="AC3" s="357"/>
      <c r="AD3" s="357"/>
      <c r="AE3" s="357"/>
      <c r="AF3" s="357"/>
      <c r="AG3" s="357"/>
      <c r="AH3" s="268"/>
      <c r="AI3" s="356"/>
      <c r="AJ3" s="507"/>
      <c r="AK3" s="507"/>
      <c r="AL3" s="507"/>
      <c r="AM3" s="507"/>
      <c r="AN3" s="507"/>
      <c r="AO3" s="507"/>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8"/>
      <c r="DR3" s="508"/>
      <c r="DS3" s="508"/>
      <c r="DT3" s="508"/>
      <c r="DU3" s="508"/>
    </row>
    <row r="4" spans="1:125" ht="26.25" customHeight="1">
      <c r="A4" s="241"/>
      <c r="B4" s="241"/>
      <c r="C4" s="241"/>
      <c r="D4" s="241"/>
      <c r="E4" s="652" t="s">
        <v>29</v>
      </c>
      <c r="F4" s="652"/>
      <c r="G4" s="652"/>
      <c r="H4" s="652"/>
      <c r="I4" s="652"/>
      <c r="J4" s="652"/>
      <c r="K4" s="652"/>
      <c r="L4" s="652"/>
      <c r="M4" s="652"/>
      <c r="N4" s="652"/>
      <c r="O4" s="652"/>
      <c r="P4" s="652"/>
      <c r="Q4" s="652"/>
      <c r="R4" s="652"/>
      <c r="S4" s="652"/>
      <c r="T4" s="652"/>
      <c r="U4" s="652"/>
      <c r="V4" s="652"/>
      <c r="W4" s="652"/>
      <c r="X4" s="652"/>
      <c r="Y4" s="187"/>
      <c r="Z4" s="38"/>
      <c r="AA4" s="187"/>
      <c r="AB4" s="38"/>
      <c r="AC4" s="187"/>
      <c r="AD4" s="38"/>
      <c r="AE4" s="187"/>
      <c r="AF4" s="38"/>
      <c r="AG4" s="187"/>
      <c r="AH4" s="157"/>
      <c r="AI4" s="187"/>
      <c r="AJ4" s="38"/>
      <c r="AK4" s="187"/>
      <c r="AL4" s="38"/>
      <c r="AM4" s="187"/>
      <c r="AN4" s="38"/>
      <c r="AO4" s="197"/>
      <c r="AP4" s="355"/>
      <c r="AQ4" s="355"/>
      <c r="AR4" s="355"/>
      <c r="AS4" s="355"/>
      <c r="AT4" s="355"/>
      <c r="AU4" s="355"/>
      <c r="AV4" s="355"/>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row>
    <row r="5" spans="1:125" ht="7.5" customHeight="1">
      <c r="A5" s="241"/>
      <c r="B5" s="241"/>
      <c r="C5" s="241"/>
      <c r="D5" s="241"/>
      <c r="E5" s="254"/>
      <c r="F5" s="255"/>
      <c r="G5" s="255"/>
      <c r="H5" s="256"/>
      <c r="I5" s="257"/>
      <c r="J5" s="250"/>
      <c r="K5" s="258"/>
      <c r="L5" s="259"/>
      <c r="M5" s="258"/>
      <c r="N5" s="259"/>
      <c r="O5" s="258"/>
      <c r="P5" s="259"/>
      <c r="Q5" s="258"/>
      <c r="R5" s="259"/>
      <c r="S5" s="258"/>
      <c r="T5" s="258"/>
      <c r="U5" s="250"/>
      <c r="V5" s="258"/>
      <c r="W5" s="258"/>
      <c r="X5" s="250"/>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5"/>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row>
    <row r="6" spans="1:125" ht="16.5" thickBot="1">
      <c r="A6" s="241"/>
      <c r="B6" s="241"/>
      <c r="C6" s="241"/>
      <c r="D6" s="241"/>
      <c r="E6" s="653" t="s">
        <v>30</v>
      </c>
      <c r="F6" s="653"/>
      <c r="G6" s="653"/>
      <c r="H6" s="653"/>
      <c r="I6" s="653"/>
      <c r="J6" s="653"/>
      <c r="K6" s="653"/>
      <c r="L6" s="653"/>
      <c r="M6" s="653"/>
      <c r="N6" s="653"/>
      <c r="O6" s="653"/>
      <c r="P6" s="653"/>
      <c r="Q6" s="653"/>
      <c r="R6" s="653"/>
      <c r="S6" s="653"/>
      <c r="T6" s="653"/>
      <c r="U6" s="653"/>
      <c r="V6" s="653"/>
      <c r="W6" s="653"/>
      <c r="X6" s="653"/>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row>
    <row r="7" spans="1:125" ht="12.75" customHeight="1">
      <c r="A7" s="241"/>
      <c r="B7" s="241"/>
      <c r="C7" s="282"/>
      <c r="D7" s="292"/>
      <c r="E7" s="283"/>
      <c r="F7" s="284"/>
      <c r="G7" s="284"/>
      <c r="H7" s="283"/>
      <c r="I7" s="284"/>
      <c r="J7" s="284"/>
      <c r="K7" s="284"/>
      <c r="L7" s="284"/>
      <c r="M7" s="284"/>
      <c r="N7" s="284"/>
      <c r="O7" s="284"/>
      <c r="P7" s="285"/>
      <c r="Q7" s="284"/>
      <c r="R7" s="284"/>
      <c r="S7" s="284"/>
      <c r="T7" s="284"/>
      <c r="U7" s="284"/>
      <c r="V7" s="284"/>
      <c r="W7" s="284"/>
      <c r="X7" s="286"/>
      <c r="Y7" s="271"/>
      <c r="Z7" s="271"/>
      <c r="AA7" s="355"/>
      <c r="AB7" s="355"/>
      <c r="AC7" s="355"/>
      <c r="AD7" s="355"/>
      <c r="AE7" s="355"/>
      <c r="AF7" s="355"/>
      <c r="AG7" s="355"/>
      <c r="AH7" s="355"/>
      <c r="AI7" s="355"/>
      <c r="AJ7" s="355"/>
      <c r="AK7" s="355"/>
      <c r="AL7" s="355"/>
      <c r="AM7" s="355"/>
      <c r="AN7" s="355"/>
      <c r="AO7" s="355"/>
      <c r="AP7" s="355"/>
      <c r="AQ7" s="355"/>
      <c r="AR7" s="355"/>
      <c r="AS7" s="355"/>
      <c r="AT7" s="355"/>
      <c r="AU7" s="355"/>
      <c r="AV7" s="355"/>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row>
    <row r="8" spans="1:125" ht="12.75">
      <c r="A8" s="241"/>
      <c r="B8" s="241"/>
      <c r="C8" s="287"/>
      <c r="D8" s="294"/>
      <c r="E8" s="295"/>
      <c r="F8" s="296"/>
      <c r="G8" s="296"/>
      <c r="H8" s="296"/>
      <c r="I8" s="296"/>
      <c r="J8" s="296"/>
      <c r="K8" s="296"/>
      <c r="L8" s="296"/>
      <c r="M8" s="296"/>
      <c r="N8" s="296"/>
      <c r="O8" s="296"/>
      <c r="P8" s="296"/>
      <c r="Q8" s="296"/>
      <c r="R8" s="296"/>
      <c r="S8" s="297"/>
      <c r="T8" s="296"/>
      <c r="U8" s="296"/>
      <c r="V8" s="296"/>
      <c r="W8" s="298"/>
      <c r="X8" s="288"/>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row>
    <row r="9" spans="1:104" ht="43.5" customHeight="1">
      <c r="A9" s="241"/>
      <c r="B9" s="241"/>
      <c r="C9" s="287"/>
      <c r="D9" s="299"/>
      <c r="E9" s="259"/>
      <c r="F9" s="334"/>
      <c r="G9" s="336" t="str">
        <f>'W1'!D8&amp;" (W1,1)"</f>
        <v>Précipitations (W1,1)</v>
      </c>
      <c r="H9" s="336" t="str">
        <f>'W1'!D9&amp;" (W1,2)"</f>
        <v>Évapotranspiration réelle (W1,2)</v>
      </c>
      <c r="I9" s="334"/>
      <c r="J9" s="334"/>
      <c r="K9" s="334"/>
      <c r="L9" s="334"/>
      <c r="M9" s="334"/>
      <c r="N9" s="334"/>
      <c r="O9" s="334"/>
      <c r="P9" s="334"/>
      <c r="Q9" s="334"/>
      <c r="R9" s="334"/>
      <c r="S9" s="334"/>
      <c r="T9" s="334"/>
      <c r="U9" s="334"/>
      <c r="V9" s="334"/>
      <c r="W9" s="300"/>
      <c r="X9" s="288"/>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row>
    <row r="10" spans="1:104" ht="12.75">
      <c r="A10" s="241"/>
      <c r="B10" s="241"/>
      <c r="C10" s="287"/>
      <c r="D10" s="299"/>
      <c r="E10" s="337"/>
      <c r="F10" s="334"/>
      <c r="G10" s="338"/>
      <c r="H10" s="338"/>
      <c r="I10" s="334"/>
      <c r="J10" s="334"/>
      <c r="K10" s="334"/>
      <c r="L10" s="334"/>
      <c r="M10" s="334"/>
      <c r="N10" s="334"/>
      <c r="O10" s="334"/>
      <c r="P10" s="334"/>
      <c r="Q10" s="334"/>
      <c r="R10" s="334"/>
      <c r="S10" s="334"/>
      <c r="T10" s="334"/>
      <c r="U10" s="334"/>
      <c r="V10" s="334"/>
      <c r="W10" s="300"/>
      <c r="X10" s="288"/>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row>
    <row r="11" spans="1:104" s="252" customFormat="1" ht="8.25" customHeight="1">
      <c r="A11" s="241"/>
      <c r="B11" s="241"/>
      <c r="C11" s="287"/>
      <c r="D11" s="299"/>
      <c r="E11" s="259"/>
      <c r="F11" s="338"/>
      <c r="G11" s="338"/>
      <c r="H11" s="338"/>
      <c r="I11" s="334"/>
      <c r="J11" s="334"/>
      <c r="K11" s="334"/>
      <c r="L11" s="334"/>
      <c r="M11" s="334"/>
      <c r="N11" s="334"/>
      <c r="O11" s="334"/>
      <c r="P11" s="334"/>
      <c r="Q11" s="334"/>
      <c r="R11" s="334"/>
      <c r="S11" s="334"/>
      <c r="T11" s="334"/>
      <c r="U11" s="338"/>
      <c r="V11" s="334"/>
      <c r="W11" s="300"/>
      <c r="X11" s="288"/>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row>
    <row r="12" spans="1:104" ht="12.75">
      <c r="A12" s="241"/>
      <c r="B12" s="241"/>
      <c r="C12" s="287"/>
      <c r="D12" s="299"/>
      <c r="E12" s="334"/>
      <c r="F12" s="334"/>
      <c r="G12" s="334"/>
      <c r="H12" s="334"/>
      <c r="I12" s="334"/>
      <c r="J12" s="334"/>
      <c r="K12" s="334"/>
      <c r="L12" s="334"/>
      <c r="M12" s="334"/>
      <c r="N12" s="334"/>
      <c r="O12" s="334"/>
      <c r="P12" s="334"/>
      <c r="Q12" s="334"/>
      <c r="R12" s="334"/>
      <c r="S12" s="334"/>
      <c r="T12" s="334"/>
      <c r="U12" s="334"/>
      <c r="V12" s="334"/>
      <c r="W12" s="300"/>
      <c r="X12" s="288"/>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row>
    <row r="13" spans="1:104" ht="6" customHeight="1">
      <c r="A13" s="241"/>
      <c r="B13" s="241"/>
      <c r="C13" s="287"/>
      <c r="D13" s="299"/>
      <c r="E13" s="259"/>
      <c r="F13" s="334"/>
      <c r="G13" s="334"/>
      <c r="H13" s="334"/>
      <c r="I13" s="334"/>
      <c r="J13" s="334"/>
      <c r="K13" s="334"/>
      <c r="L13" s="334"/>
      <c r="M13" s="334"/>
      <c r="N13" s="334"/>
      <c r="O13" s="334"/>
      <c r="P13" s="334"/>
      <c r="Q13" s="334"/>
      <c r="R13" s="334"/>
      <c r="S13" s="334"/>
      <c r="T13" s="334"/>
      <c r="U13" s="334"/>
      <c r="V13" s="334"/>
      <c r="W13" s="300"/>
      <c r="X13" s="288"/>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row>
    <row r="14" spans="1:104" ht="27" customHeight="1">
      <c r="A14" s="241"/>
      <c r="B14" s="241"/>
      <c r="C14" s="287"/>
      <c r="D14" s="299"/>
      <c r="E14" s="259"/>
      <c r="F14" s="334"/>
      <c r="G14" s="658" t="str">
        <f>LEFT('W1'!D10,LEN('W1'!D10)-6)&amp;" (W1,3)"</f>
        <v>Flux interne  (W1,3)</v>
      </c>
      <c r="H14" s="659"/>
      <c r="I14" s="334"/>
      <c r="J14" s="334"/>
      <c r="K14" s="334"/>
      <c r="L14" s="334"/>
      <c r="M14" s="334"/>
      <c r="N14" s="334"/>
      <c r="O14" s="334"/>
      <c r="P14" s="334"/>
      <c r="Q14" s="334"/>
      <c r="R14" s="334"/>
      <c r="S14" s="334"/>
      <c r="T14" s="334"/>
      <c r="U14" s="334"/>
      <c r="V14" s="334"/>
      <c r="W14" s="300"/>
      <c r="X14" s="288"/>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row>
    <row r="15" spans="1:104" s="252" customFormat="1" ht="27.75" customHeight="1">
      <c r="A15" s="241"/>
      <c r="B15" s="241"/>
      <c r="C15" s="287"/>
      <c r="D15" s="299"/>
      <c r="E15" s="259"/>
      <c r="F15" s="338"/>
      <c r="G15" s="338"/>
      <c r="H15" s="338"/>
      <c r="I15" s="338"/>
      <c r="J15" s="338"/>
      <c r="K15" s="338"/>
      <c r="L15" s="338"/>
      <c r="M15" s="338"/>
      <c r="N15" s="334"/>
      <c r="O15" s="334"/>
      <c r="P15" s="334"/>
      <c r="Q15" s="334"/>
      <c r="R15" s="334"/>
      <c r="S15" s="334"/>
      <c r="T15" s="334"/>
      <c r="U15" s="338"/>
      <c r="V15" s="334"/>
      <c r="W15" s="300"/>
      <c r="X15" s="288"/>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row>
    <row r="16" spans="1:104" ht="49.5" customHeight="1">
      <c r="A16" s="241"/>
      <c r="B16" s="241"/>
      <c r="C16" s="287"/>
      <c r="D16" s="299"/>
      <c r="E16" s="336" t="str">
        <f>'W1'!D11&amp;" (W1,4)"</f>
        <v>Apport externe d’eaux de surface 
et d’eaux souterraines (W1,4)</v>
      </c>
      <c r="F16" s="334"/>
      <c r="G16" s="336" t="str">
        <f>LEFT('W1'!D12,LEN('W1'!D12)-8)&amp;" (W1,5)"</f>
        <v>Ressources renouvelables en eau douce  (W1,5)</v>
      </c>
      <c r="H16" s="334"/>
      <c r="I16" s="336" t="str">
        <f>'W1'!D13&amp;" (W1,6)"</f>
        <v>Flux sortants d’eaux de surface 
et d’eaux souterraines (W1,6)</v>
      </c>
      <c r="J16" s="334"/>
      <c r="K16" s="334"/>
      <c r="L16" s="334"/>
      <c r="M16" s="334"/>
      <c r="N16" s="334"/>
      <c r="O16" s="334"/>
      <c r="P16" s="334"/>
      <c r="Q16" s="334"/>
      <c r="R16" s="334"/>
      <c r="S16" s="267"/>
      <c r="T16" s="334"/>
      <c r="U16" s="334"/>
      <c r="V16" s="334"/>
      <c r="W16" s="300"/>
      <c r="X16" s="288"/>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row>
    <row r="17" spans="1:104" ht="21.75" customHeight="1">
      <c r="A17" s="241"/>
      <c r="B17" s="241"/>
      <c r="C17" s="287"/>
      <c r="D17" s="299"/>
      <c r="E17" s="259"/>
      <c r="F17" s="334"/>
      <c r="G17" s="334"/>
      <c r="H17" s="334"/>
      <c r="I17" s="334"/>
      <c r="J17" s="334"/>
      <c r="K17" s="334"/>
      <c r="L17" s="334"/>
      <c r="M17" s="334"/>
      <c r="N17" s="334"/>
      <c r="O17" s="334"/>
      <c r="P17" s="334"/>
      <c r="Q17" s="334"/>
      <c r="R17" s="334"/>
      <c r="S17" s="334"/>
      <c r="T17" s="334"/>
      <c r="U17" s="334"/>
      <c r="V17" s="334"/>
      <c r="W17" s="300"/>
      <c r="X17" s="288"/>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row>
    <row r="18" spans="1:104" ht="12.75">
      <c r="A18" s="241"/>
      <c r="B18" s="241"/>
      <c r="C18" s="287"/>
      <c r="D18" s="299"/>
      <c r="E18" s="259"/>
      <c r="F18" s="334"/>
      <c r="G18" s="334"/>
      <c r="H18" s="334"/>
      <c r="I18" s="334"/>
      <c r="J18" s="334"/>
      <c r="K18" s="334"/>
      <c r="L18" s="334"/>
      <c r="M18" s="334"/>
      <c r="N18" s="334"/>
      <c r="O18" s="334"/>
      <c r="P18" s="334"/>
      <c r="Q18" s="334"/>
      <c r="R18" s="334"/>
      <c r="S18" s="334"/>
      <c r="T18" s="334"/>
      <c r="U18" s="334"/>
      <c r="V18" s="334"/>
      <c r="W18" s="300"/>
      <c r="X18" s="288"/>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row>
    <row r="19" spans="1:104" ht="12.75">
      <c r="A19" s="241"/>
      <c r="B19" s="241"/>
      <c r="C19" s="287"/>
      <c r="D19" s="299"/>
      <c r="E19" s="660" t="str">
        <f>'W2'!D10</f>
        <v>Dont prélevés par :</v>
      </c>
      <c r="F19" s="661"/>
      <c r="G19" s="661"/>
      <c r="H19" s="661"/>
      <c r="I19" s="661"/>
      <c r="J19" s="662"/>
      <c r="K19" s="334"/>
      <c r="L19" s="334"/>
      <c r="M19" s="334"/>
      <c r="N19" s="334"/>
      <c r="O19" s="334"/>
      <c r="P19" s="334"/>
      <c r="Q19" s="334"/>
      <c r="R19" s="334"/>
      <c r="S19" s="334"/>
      <c r="T19" s="334"/>
      <c r="U19" s="334"/>
      <c r="V19" s="334"/>
      <c r="W19" s="300"/>
      <c r="X19" s="288"/>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row>
    <row r="20" spans="1:104" ht="39.75" customHeight="1">
      <c r="A20" s="241"/>
      <c r="B20" s="241"/>
      <c r="C20" s="287"/>
      <c r="D20" s="299"/>
      <c r="E20" s="334"/>
      <c r="F20" s="334"/>
      <c r="G20" s="334"/>
      <c r="H20" s="334"/>
      <c r="I20" s="334"/>
      <c r="J20" s="334"/>
      <c r="K20" s="334"/>
      <c r="L20" s="334"/>
      <c r="M20" s="334"/>
      <c r="N20" s="334"/>
      <c r="O20" s="334"/>
      <c r="P20" s="334"/>
      <c r="Q20" s="334"/>
      <c r="R20" s="334"/>
      <c r="S20" s="334"/>
      <c r="T20" s="334"/>
      <c r="U20" s="334"/>
      <c r="V20" s="334"/>
      <c r="W20" s="300"/>
      <c r="X20" s="288"/>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row>
    <row r="21" spans="1:104" s="253" customFormat="1" ht="86.25" customHeight="1">
      <c r="A21" s="241"/>
      <c r="B21" s="241"/>
      <c r="C21" s="287"/>
      <c r="D21" s="299"/>
      <c r="E21" s="335" t="str">
        <f>LEFT('W2'!D11,LEN('W2'!D11)-8)&amp;" (W2,2)"</f>
        <v>Services d’alimentation en eau (CITI 36)  (W2,2)</v>
      </c>
      <c r="F21" s="335" t="str">
        <f>LEFT('W2'!D12,LEN('W2'!D12)-8)&amp;" (W2,3)"</f>
        <v>Ménages  (W2,3)</v>
      </c>
      <c r="G21" s="335" t="str">
        <f>LEFT('W2'!D13,LEN('W2'!D13)-8)&amp;" (W2,4)"</f>
        <v>Agriculture, sylviculture et pêche (divisions 01 à 03 de la CITI)  (W2,4)</v>
      </c>
      <c r="H21" s="335" t="str">
        <f>LEFT('W2'!D14,LEN('W2'!D14)-8)&amp;" (W2,5)"</f>
        <v>Industrie (divisions 10 à 33 de la CITI)  (W2,5)</v>
      </c>
      <c r="I21" s="335" t="str">
        <f>LEFT('W2'!D15,LEN('W2'!D15)-8)&amp;" (W2,6)"</f>
        <v>Industrie électrique (division 351 de la CITI)  (W2,6)</v>
      </c>
      <c r="J21" s="335" t="str">
        <f>LEFT('W2'!D16,LEN('W2'!D16)-8)&amp;" (W2,7)"</f>
        <v>Autres activités ou agents économiques   (W2,7)</v>
      </c>
      <c r="K21" s="259"/>
      <c r="L21" s="259"/>
      <c r="M21" s="259"/>
      <c r="N21" s="259"/>
      <c r="O21" s="259"/>
      <c r="P21" s="157"/>
      <c r="Q21" s="259"/>
      <c r="R21" s="259"/>
      <c r="S21" s="334"/>
      <c r="T21" s="334"/>
      <c r="U21" s="334"/>
      <c r="V21" s="334"/>
      <c r="W21" s="300"/>
      <c r="X21" s="288"/>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row>
    <row r="22" spans="1:104" s="252" customFormat="1" ht="13.5" customHeight="1">
      <c r="A22" s="241"/>
      <c r="B22" s="241"/>
      <c r="C22" s="287"/>
      <c r="D22" s="299"/>
      <c r="E22" s="259"/>
      <c r="F22" s="338"/>
      <c r="G22" s="338"/>
      <c r="H22" s="338"/>
      <c r="I22" s="338"/>
      <c r="J22" s="338"/>
      <c r="K22" s="338"/>
      <c r="L22" s="338"/>
      <c r="M22" s="338"/>
      <c r="N22" s="338"/>
      <c r="O22" s="338"/>
      <c r="P22" s="338"/>
      <c r="Q22" s="338"/>
      <c r="R22" s="338"/>
      <c r="S22" s="334"/>
      <c r="T22" s="334"/>
      <c r="U22" s="334"/>
      <c r="V22" s="334"/>
      <c r="W22" s="300"/>
      <c r="X22" s="288"/>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row>
    <row r="23" spans="1:104" ht="45" customHeight="1">
      <c r="A23" s="241"/>
      <c r="B23" s="241"/>
      <c r="C23" s="287"/>
      <c r="D23" s="299"/>
      <c r="E23" s="655" t="str">
        <f>LEFT('W3'!D8,LEN('W3'!D8)-7)&amp;" (W2,1) (W3,1)"</f>
        <v>Volume brut d’eau douce prélevé ( (W2,1) (W3,1)</v>
      </c>
      <c r="F23" s="656"/>
      <c r="G23" s="656"/>
      <c r="H23" s="656"/>
      <c r="I23" s="656"/>
      <c r="J23" s="657"/>
      <c r="K23" s="334"/>
      <c r="L23" s="334"/>
      <c r="M23" s="334"/>
      <c r="N23" s="339" t="str">
        <f>LEFT('W3'!D10,LEN('W3'!D10)-7)&amp;" (W3,3)"</f>
        <v>Volume net d’eau douce prélevé (W3,3)</v>
      </c>
      <c r="O23" s="334"/>
      <c r="P23" s="334"/>
      <c r="Q23" s="334"/>
      <c r="R23" s="259"/>
      <c r="S23" s="334"/>
      <c r="T23" s="334"/>
      <c r="U23" s="334"/>
      <c r="V23" s="340" t="str">
        <f>'W4'!D10&amp;" (W4,2)"</f>
        <v>Ménages  (W4,2)</v>
      </c>
      <c r="W23" s="301"/>
      <c r="X23" s="288"/>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row>
    <row r="24" spans="1:104" ht="9.75" customHeight="1">
      <c r="A24" s="241"/>
      <c r="B24" s="241"/>
      <c r="C24" s="287"/>
      <c r="D24" s="299"/>
      <c r="E24" s="259"/>
      <c r="F24" s="334"/>
      <c r="G24" s="334"/>
      <c r="H24" s="334"/>
      <c r="I24" s="334"/>
      <c r="J24" s="334"/>
      <c r="K24" s="334"/>
      <c r="L24" s="334"/>
      <c r="M24" s="334"/>
      <c r="N24" s="334"/>
      <c r="O24" s="334"/>
      <c r="P24" s="334"/>
      <c r="Q24" s="334"/>
      <c r="R24" s="334"/>
      <c r="S24" s="334"/>
      <c r="T24" s="334"/>
      <c r="U24" s="334"/>
      <c r="V24" s="334"/>
      <c r="W24" s="300"/>
      <c r="X24" s="288"/>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row>
    <row r="25" spans="1:104" ht="77.25" customHeight="1">
      <c r="A25" s="241"/>
      <c r="B25" s="241"/>
      <c r="C25" s="287"/>
      <c r="D25" s="299"/>
      <c r="E25" s="259"/>
      <c r="F25" s="334"/>
      <c r="G25" s="334"/>
      <c r="H25" s="334"/>
      <c r="I25" s="334"/>
      <c r="J25" s="334"/>
      <c r="K25" s="334"/>
      <c r="L25" s="339" t="str">
        <f>'W3'!D9&amp;" (W3,2)"</f>
        <v>Eaux restituées à l’environnement sans avoir été utilisées (W3,2)</v>
      </c>
      <c r="M25" s="334"/>
      <c r="N25" s="339" t="str">
        <f>'W3'!D11&amp;" (W3,4)"</f>
        <v>Eau dessalée (W3,4)</v>
      </c>
      <c r="O25" s="334"/>
      <c r="P25" s="339" t="str">
        <f>LEFT('W3'!D15,LEN('W3'!D15)-12)&amp;" (W3,8)"</f>
        <v>Quantité totale d’eau douce disponible et utilisable  (W3,8)</v>
      </c>
      <c r="Q25" s="334"/>
      <c r="R25" s="340" t="str">
        <f>LEFT('W3'!D17,LEN('W3'!D17)-14)&amp;" (W3,10) (W4,1)"</f>
        <v>Quantité totale d’eau douce utilisée  (W3,10) (W4,1)</v>
      </c>
      <c r="S25" s="654" t="str">
        <f>'W4'!D9</f>
        <v>Dont : volume d’eau douce utilisé par agent ou activité économique:</v>
      </c>
      <c r="T25" s="654"/>
      <c r="U25" s="602"/>
      <c r="V25" s="340" t="str">
        <f>'W4'!D11&amp;" (W4,3)"</f>
        <v>Agriculture, sylviculture et pêche 
(divisions 01 à 03 de la CITI) (W4,3)</v>
      </c>
      <c r="W25" s="300"/>
      <c r="X25" s="288"/>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row>
    <row r="26" spans="1:104" ht="8.25" customHeight="1">
      <c r="A26" s="241"/>
      <c r="B26" s="241"/>
      <c r="C26" s="287"/>
      <c r="D26" s="299"/>
      <c r="E26" s="334"/>
      <c r="F26" s="334"/>
      <c r="G26" s="334"/>
      <c r="H26" s="334"/>
      <c r="I26" s="334"/>
      <c r="J26" s="334"/>
      <c r="K26" s="334"/>
      <c r="L26" s="334"/>
      <c r="M26" s="334"/>
      <c r="N26" s="334"/>
      <c r="O26" s="334"/>
      <c r="P26" s="334"/>
      <c r="Q26" s="334"/>
      <c r="R26" s="334"/>
      <c r="S26" s="654"/>
      <c r="T26" s="654"/>
      <c r="U26" s="334"/>
      <c r="V26" s="334"/>
      <c r="W26" s="300"/>
      <c r="X26" s="288"/>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c r="CZ26" s="241"/>
    </row>
    <row r="27" spans="1:104" ht="38.25" customHeight="1">
      <c r="A27" s="241"/>
      <c r="B27" s="241"/>
      <c r="C27" s="287"/>
      <c r="D27" s="299"/>
      <c r="F27" s="342" t="s">
        <v>631</v>
      </c>
      <c r="G27" s="343" t="s">
        <v>642</v>
      </c>
      <c r="H27" s="344" t="s">
        <v>167</v>
      </c>
      <c r="I27" s="345" t="s">
        <v>643</v>
      </c>
      <c r="J27" s="334"/>
      <c r="K27" s="334"/>
      <c r="L27" s="334"/>
      <c r="M27" s="334"/>
      <c r="N27" s="339" t="str">
        <f>'W3'!D12&amp;" (W3,5)"</f>
        <v>Eau réutilisée (W3,5)</v>
      </c>
      <c r="O27" s="334"/>
      <c r="P27" s="334"/>
      <c r="Q27" s="334"/>
      <c r="R27" s="334"/>
      <c r="S27" s="654"/>
      <c r="T27" s="654"/>
      <c r="U27" s="334"/>
      <c r="V27" s="340" t="str">
        <f>'W4'!D13&amp;" (W4,5)"</f>
        <v>Industrie 
 (divisions 10 à 33 de la CITI) (W4,5)</v>
      </c>
      <c r="W27" s="300"/>
      <c r="X27" s="288"/>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c r="CZ27" s="241"/>
    </row>
    <row r="28" spans="1:104" ht="13.5" customHeight="1">
      <c r="A28" s="241"/>
      <c r="B28" s="241"/>
      <c r="C28" s="287"/>
      <c r="D28" s="299"/>
      <c r="E28" s="341"/>
      <c r="F28" s="341"/>
      <c r="G28" s="341"/>
      <c r="H28" s="341"/>
      <c r="I28" s="334"/>
      <c r="J28" s="334"/>
      <c r="K28" s="334"/>
      <c r="L28" s="334"/>
      <c r="M28" s="334"/>
      <c r="N28" s="334"/>
      <c r="O28" s="334"/>
      <c r="P28" s="334"/>
      <c r="Q28" s="334"/>
      <c r="R28" s="334"/>
      <c r="S28" s="334"/>
      <c r="T28" s="334"/>
      <c r="U28" s="334"/>
      <c r="V28" s="334"/>
      <c r="W28" s="300"/>
      <c r="X28" s="288"/>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c r="CZ28" s="241"/>
    </row>
    <row r="29" spans="1:104" ht="49.5" customHeight="1">
      <c r="A29" s="241"/>
      <c r="B29" s="241"/>
      <c r="C29" s="287"/>
      <c r="D29" s="299"/>
      <c r="E29" s="334"/>
      <c r="F29" s="334"/>
      <c r="G29" s="334"/>
      <c r="H29" s="334"/>
      <c r="I29" s="334"/>
      <c r="J29" s="334"/>
      <c r="K29" s="334"/>
      <c r="L29" s="334"/>
      <c r="M29" s="334"/>
      <c r="N29" s="339" t="str">
        <f>'W3'!D13&amp;" - "&amp;'W3'!D14&amp;" (=W3,6 - W3,7)"</f>
        <v>Importations d’eau - Exportations d’eau (=W3,6 - W3,7)</v>
      </c>
      <c r="O29" s="334"/>
      <c r="Q29" s="339" t="str">
        <f>'W3'!D16&amp;" (W3,9)"</f>
        <v>Pertes au cours du transport (W3,9)</v>
      </c>
      <c r="R29" s="334"/>
      <c r="S29" s="334"/>
      <c r="T29" s="334"/>
      <c r="U29" s="334"/>
      <c r="V29" s="340" t="str">
        <f>'W4'!D14&amp;" (W4,6)"</f>
        <v>Industrie électrique
 (division 351 de la CITI) (W4,6)</v>
      </c>
      <c r="W29" s="300"/>
      <c r="X29" s="288"/>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c r="CZ29" s="241"/>
    </row>
    <row r="30" spans="1:104" ht="12.75">
      <c r="A30" s="241"/>
      <c r="B30" s="241"/>
      <c r="C30" s="287"/>
      <c r="D30" s="299"/>
      <c r="E30" s="334"/>
      <c r="F30" s="334"/>
      <c r="G30" s="334"/>
      <c r="H30" s="334"/>
      <c r="I30" s="334"/>
      <c r="J30" s="334"/>
      <c r="K30" s="334"/>
      <c r="L30" s="334"/>
      <c r="M30" s="334"/>
      <c r="N30" s="334"/>
      <c r="O30" s="334"/>
      <c r="P30" s="334"/>
      <c r="Q30" s="334"/>
      <c r="R30" s="334"/>
      <c r="S30" s="334"/>
      <c r="T30" s="334"/>
      <c r="U30" s="334"/>
      <c r="V30" s="334"/>
      <c r="W30" s="300"/>
      <c r="X30" s="288"/>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c r="CZ30" s="241"/>
    </row>
    <row r="31" spans="1:104" ht="33" customHeight="1">
      <c r="A31" s="241"/>
      <c r="B31" s="241"/>
      <c r="C31" s="287"/>
      <c r="D31" s="299"/>
      <c r="E31" s="334"/>
      <c r="F31" s="334"/>
      <c r="G31" s="334"/>
      <c r="H31" s="334"/>
      <c r="I31" s="334"/>
      <c r="J31" s="334"/>
      <c r="K31" s="334"/>
      <c r="L31" s="334"/>
      <c r="M31" s="334"/>
      <c r="N31" s="334"/>
      <c r="O31" s="334"/>
      <c r="P31" s="334"/>
      <c r="Q31" s="334"/>
      <c r="R31" s="334"/>
      <c r="S31" s="334"/>
      <c r="T31" s="334"/>
      <c r="U31" s="334"/>
      <c r="V31" s="340" t="str">
        <f>'W4'!D15&amp;" (W4,7)"</f>
        <v>Autres agents économiques (W4,7)</v>
      </c>
      <c r="W31" s="300"/>
      <c r="X31" s="288"/>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row>
    <row r="32" spans="1:104" ht="9" customHeight="1">
      <c r="A32" s="241"/>
      <c r="B32" s="241"/>
      <c r="C32" s="287"/>
      <c r="D32" s="299"/>
      <c r="E32" s="238"/>
      <c r="F32" s="238"/>
      <c r="G32" s="238"/>
      <c r="H32" s="238"/>
      <c r="I32" s="238"/>
      <c r="J32" s="238"/>
      <c r="K32" s="238"/>
      <c r="L32" s="238"/>
      <c r="M32" s="238"/>
      <c r="N32" s="238"/>
      <c r="O32" s="238"/>
      <c r="P32" s="238"/>
      <c r="Q32" s="238"/>
      <c r="R32" s="238"/>
      <c r="S32" s="238"/>
      <c r="T32" s="238"/>
      <c r="U32" s="238"/>
      <c r="V32" s="238"/>
      <c r="W32" s="300"/>
      <c r="X32" s="288"/>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row>
    <row r="33" spans="1:104" ht="3.75" customHeight="1">
      <c r="A33" s="241"/>
      <c r="B33" s="241"/>
      <c r="C33" s="287"/>
      <c r="D33" s="302"/>
      <c r="E33" s="303"/>
      <c r="F33" s="303"/>
      <c r="G33" s="303"/>
      <c r="H33" s="303"/>
      <c r="I33" s="303"/>
      <c r="J33" s="303"/>
      <c r="K33" s="303"/>
      <c r="L33" s="303"/>
      <c r="M33" s="303"/>
      <c r="N33" s="303"/>
      <c r="O33" s="303"/>
      <c r="P33" s="303"/>
      <c r="Q33" s="303"/>
      <c r="R33" s="303"/>
      <c r="S33" s="303"/>
      <c r="T33" s="303"/>
      <c r="U33" s="303"/>
      <c r="V33" s="303"/>
      <c r="W33" s="304"/>
      <c r="X33" s="288"/>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row>
    <row r="34" spans="1:104" ht="13.5" customHeight="1" thickBot="1">
      <c r="A34" s="241"/>
      <c r="B34" s="241"/>
      <c r="C34" s="289"/>
      <c r="D34" s="293"/>
      <c r="E34" s="290"/>
      <c r="F34" s="290"/>
      <c r="G34" s="290"/>
      <c r="H34" s="290"/>
      <c r="I34" s="290"/>
      <c r="J34" s="290"/>
      <c r="K34" s="290"/>
      <c r="L34" s="290"/>
      <c r="M34" s="290"/>
      <c r="N34" s="290"/>
      <c r="O34" s="290"/>
      <c r="P34" s="290"/>
      <c r="Q34" s="290"/>
      <c r="R34" s="290"/>
      <c r="S34" s="290"/>
      <c r="T34" s="290"/>
      <c r="U34" s="290"/>
      <c r="V34" s="290"/>
      <c r="W34" s="290"/>
      <c r="X34" s="291"/>
      <c r="Y34" s="238"/>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c r="CZ34" s="241"/>
    </row>
    <row r="35" spans="1:104" ht="12.75">
      <c r="A35" s="241"/>
      <c r="B35" s="241"/>
      <c r="C35" s="241"/>
      <c r="D35" s="241"/>
      <c r="E35" s="238"/>
      <c r="F35" s="238"/>
      <c r="G35" s="238"/>
      <c r="H35" s="238"/>
      <c r="I35" s="238"/>
      <c r="J35" s="238"/>
      <c r="K35" s="238"/>
      <c r="L35" s="238"/>
      <c r="M35" s="238"/>
      <c r="N35" s="238"/>
      <c r="O35" s="238"/>
      <c r="P35" s="238"/>
      <c r="Q35" s="238"/>
      <c r="R35" s="238"/>
      <c r="S35" s="238"/>
      <c r="T35" s="238"/>
      <c r="U35" s="238"/>
      <c r="V35" s="238"/>
      <c r="W35" s="238"/>
      <c r="X35" s="238"/>
      <c r="Y35" s="238"/>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row>
    <row r="36" spans="1:104" ht="6.75" customHeight="1">
      <c r="A36" s="241"/>
      <c r="B36" s="241"/>
      <c r="C36" s="241"/>
      <c r="D36" s="241"/>
      <c r="E36" s="238"/>
      <c r="F36" s="238"/>
      <c r="G36" s="238"/>
      <c r="H36" s="238"/>
      <c r="I36" s="238"/>
      <c r="J36" s="238"/>
      <c r="K36" s="238"/>
      <c r="L36" s="238"/>
      <c r="M36" s="238"/>
      <c r="N36" s="238"/>
      <c r="O36" s="238"/>
      <c r="P36" s="238"/>
      <c r="Q36" s="238"/>
      <c r="R36" s="238"/>
      <c r="S36" s="238"/>
      <c r="T36" s="238"/>
      <c r="U36" s="238"/>
      <c r="V36" s="238"/>
      <c r="W36" s="238"/>
      <c r="X36" s="238"/>
      <c r="Y36" s="238"/>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row>
    <row r="37" spans="1:104" ht="12.75">
      <c r="A37" s="241"/>
      <c r="B37" s="241"/>
      <c r="C37" s="241"/>
      <c r="D37" s="241"/>
      <c r="E37" s="238"/>
      <c r="F37" s="238"/>
      <c r="G37" s="238"/>
      <c r="H37" s="238"/>
      <c r="I37" s="238"/>
      <c r="J37" s="238"/>
      <c r="K37" s="238"/>
      <c r="L37" s="238"/>
      <c r="M37" s="238"/>
      <c r="N37" s="238"/>
      <c r="O37" s="238"/>
      <c r="P37" s="238"/>
      <c r="Q37" s="238"/>
      <c r="R37" s="238"/>
      <c r="S37" s="238"/>
      <c r="T37" s="238"/>
      <c r="U37" s="238"/>
      <c r="V37" s="238"/>
      <c r="W37" s="238"/>
      <c r="X37" s="238"/>
      <c r="Y37" s="238"/>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c r="CZ37" s="241"/>
    </row>
    <row r="38" spans="1:125" ht="6.75" customHeight="1">
      <c r="A38" s="241"/>
      <c r="B38" s="241"/>
      <c r="C38" s="241"/>
      <c r="D38" s="241"/>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c r="CZ38" s="241"/>
      <c r="DA38" s="241"/>
      <c r="DB38" s="241"/>
      <c r="DC38" s="241"/>
      <c r="DD38" s="241"/>
      <c r="DE38" s="241"/>
      <c r="DF38" s="241"/>
      <c r="DG38" s="241"/>
      <c r="DH38" s="241"/>
      <c r="DI38" s="241"/>
      <c r="DJ38" s="241"/>
      <c r="DK38" s="241"/>
      <c r="DL38" s="241"/>
      <c r="DM38" s="241"/>
      <c r="DN38" s="241"/>
      <c r="DO38" s="241"/>
      <c r="DP38" s="241"/>
      <c r="DQ38" s="241"/>
      <c r="DR38" s="241"/>
      <c r="DS38" s="241"/>
      <c r="DT38" s="241"/>
      <c r="DU38" s="241"/>
    </row>
    <row r="39" spans="1:125" ht="12.75">
      <c r="A39" s="241"/>
      <c r="B39" s="241"/>
      <c r="C39" s="241"/>
      <c r="D39" s="241"/>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c r="CZ39" s="241"/>
      <c r="DA39" s="241"/>
      <c r="DB39" s="241"/>
      <c r="DC39" s="241"/>
      <c r="DD39" s="241"/>
      <c r="DE39" s="241"/>
      <c r="DF39" s="241"/>
      <c r="DG39" s="241"/>
      <c r="DH39" s="241"/>
      <c r="DI39" s="241"/>
      <c r="DJ39" s="241"/>
      <c r="DK39" s="241"/>
      <c r="DL39" s="241"/>
      <c r="DM39" s="241"/>
      <c r="DN39" s="241"/>
      <c r="DO39" s="241"/>
      <c r="DP39" s="241"/>
      <c r="DQ39" s="241"/>
      <c r="DR39" s="241"/>
      <c r="DS39" s="241"/>
      <c r="DT39" s="241"/>
      <c r="DU39" s="241"/>
    </row>
    <row r="40" spans="1:125" ht="6" customHeight="1">
      <c r="A40" s="241"/>
      <c r="B40" s="241"/>
      <c r="C40" s="241"/>
      <c r="D40" s="241"/>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c r="CZ40" s="241"/>
      <c r="DA40" s="241"/>
      <c r="DB40" s="241"/>
      <c r="DC40" s="241"/>
      <c r="DD40" s="241"/>
      <c r="DE40" s="241"/>
      <c r="DF40" s="241"/>
      <c r="DG40" s="241"/>
      <c r="DH40" s="241"/>
      <c r="DI40" s="241"/>
      <c r="DJ40" s="241"/>
      <c r="DK40" s="241"/>
      <c r="DL40" s="241"/>
      <c r="DM40" s="241"/>
      <c r="DN40" s="241"/>
      <c r="DO40" s="241"/>
      <c r="DP40" s="241"/>
      <c r="DQ40" s="241"/>
      <c r="DR40" s="241"/>
      <c r="DS40" s="241"/>
      <c r="DT40" s="241"/>
      <c r="DU40" s="241"/>
    </row>
    <row r="41" spans="1:125" ht="12.75">
      <c r="A41" s="241"/>
      <c r="B41" s="241"/>
      <c r="C41" s="241"/>
      <c r="D41" s="241"/>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c r="CZ41" s="241"/>
      <c r="DA41" s="241"/>
      <c r="DB41" s="241"/>
      <c r="DC41" s="241"/>
      <c r="DD41" s="241"/>
      <c r="DE41" s="241"/>
      <c r="DF41" s="241"/>
      <c r="DG41" s="241"/>
      <c r="DH41" s="241"/>
      <c r="DI41" s="241"/>
      <c r="DJ41" s="241"/>
      <c r="DK41" s="241"/>
      <c r="DL41" s="241"/>
      <c r="DM41" s="241"/>
      <c r="DN41" s="241"/>
      <c r="DO41" s="241"/>
      <c r="DP41" s="241"/>
      <c r="DQ41" s="241"/>
      <c r="DR41" s="241"/>
      <c r="DS41" s="241"/>
      <c r="DT41" s="241"/>
      <c r="DU41" s="241"/>
    </row>
    <row r="42" spans="1:125" ht="4.5" customHeight="1">
      <c r="A42" s="241"/>
      <c r="B42" s="241"/>
      <c r="C42" s="241"/>
      <c r="D42" s="241"/>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1:125" ht="12.75">
      <c r="A43" s="241"/>
      <c r="B43" s="241"/>
      <c r="C43" s="241"/>
      <c r="D43" s="241"/>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c r="DM43" s="241"/>
      <c r="DN43" s="241"/>
      <c r="DO43" s="241"/>
      <c r="DP43" s="241"/>
      <c r="DQ43" s="241"/>
      <c r="DR43" s="241"/>
      <c r="DS43" s="241"/>
      <c r="DT43" s="241"/>
      <c r="DU43" s="241"/>
    </row>
    <row r="44" spans="1:125" ht="5.25" customHeight="1">
      <c r="A44" s="241"/>
      <c r="B44" s="241"/>
      <c r="C44" s="241"/>
      <c r="D44" s="241"/>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c r="CZ44" s="241"/>
      <c r="DA44" s="241"/>
      <c r="DB44" s="241"/>
      <c r="DC44" s="241"/>
      <c r="DD44" s="241"/>
      <c r="DE44" s="241"/>
      <c r="DF44" s="241"/>
      <c r="DG44" s="241"/>
      <c r="DH44" s="241"/>
      <c r="DI44" s="241"/>
      <c r="DJ44" s="241"/>
      <c r="DK44" s="241"/>
      <c r="DL44" s="241"/>
      <c r="DM44" s="241"/>
      <c r="DN44" s="241"/>
      <c r="DO44" s="241"/>
      <c r="DP44" s="241"/>
      <c r="DQ44" s="241"/>
      <c r="DR44" s="241"/>
      <c r="DS44" s="241"/>
      <c r="DT44" s="241"/>
      <c r="DU44" s="241"/>
    </row>
    <row r="45" spans="1:125" ht="12.75">
      <c r="A45" s="241"/>
      <c r="B45" s="241"/>
      <c r="C45" s="241"/>
      <c r="D45" s="241"/>
      <c r="E45" s="238"/>
      <c r="F45" s="238"/>
      <c r="G45" s="238"/>
      <c r="H45" s="238"/>
      <c r="I45" s="238"/>
      <c r="J45" s="238"/>
      <c r="K45" s="238"/>
      <c r="L45" s="238"/>
      <c r="M45" s="238"/>
      <c r="N45" s="238"/>
      <c r="O45" s="238"/>
      <c r="P45" s="238"/>
      <c r="Q45" s="238"/>
      <c r="R45" s="238"/>
      <c r="S45" s="241"/>
      <c r="T45" s="241"/>
      <c r="U45" s="241"/>
      <c r="V45" s="241"/>
      <c r="W45" s="241"/>
      <c r="X45" s="241"/>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c r="CZ45" s="241"/>
      <c r="DA45" s="241"/>
      <c r="DB45" s="241"/>
      <c r="DC45" s="241"/>
      <c r="DD45" s="241"/>
      <c r="DE45" s="241"/>
      <c r="DF45" s="241"/>
      <c r="DG45" s="241"/>
      <c r="DH45" s="241"/>
      <c r="DI45" s="241"/>
      <c r="DJ45" s="241"/>
      <c r="DK45" s="241"/>
      <c r="DL45" s="241"/>
      <c r="DM45" s="241"/>
      <c r="DN45" s="241"/>
      <c r="DO45" s="241"/>
      <c r="DP45" s="241"/>
      <c r="DQ45" s="241"/>
      <c r="DR45" s="241"/>
      <c r="DS45" s="241"/>
      <c r="DT45" s="241"/>
      <c r="DU45" s="241"/>
    </row>
    <row r="46" spans="1:125" ht="12.75">
      <c r="A46" s="241"/>
      <c r="B46" s="241"/>
      <c r="C46" s="241"/>
      <c r="D46" s="241"/>
      <c r="E46" s="238"/>
      <c r="F46" s="238"/>
      <c r="G46" s="238"/>
      <c r="H46" s="238"/>
      <c r="I46" s="238"/>
      <c r="J46" s="238"/>
      <c r="K46" s="238"/>
      <c r="L46" s="238"/>
      <c r="M46" s="238"/>
      <c r="N46" s="238"/>
      <c r="O46" s="238"/>
      <c r="P46" s="238"/>
      <c r="Q46" s="238"/>
      <c r="R46" s="241"/>
      <c r="S46" s="241"/>
      <c r="T46" s="241"/>
      <c r="U46" s="241"/>
      <c r="V46" s="241"/>
      <c r="W46" s="241"/>
      <c r="X46" s="241"/>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row>
    <row r="47" spans="1:125" ht="12.75">
      <c r="A47" s="241"/>
      <c r="B47" s="241"/>
      <c r="C47" s="241"/>
      <c r="D47" s="241"/>
      <c r="E47" s="238"/>
      <c r="F47" s="238"/>
      <c r="G47" s="238"/>
      <c r="H47" s="238"/>
      <c r="I47" s="238"/>
      <c r="J47" s="238"/>
      <c r="K47" s="238"/>
      <c r="L47" s="238"/>
      <c r="M47" s="238"/>
      <c r="N47" s="238"/>
      <c r="O47" s="238"/>
      <c r="P47" s="238"/>
      <c r="Q47" s="238"/>
      <c r="R47" s="241"/>
      <c r="S47" s="241"/>
      <c r="T47" s="241"/>
      <c r="U47" s="241"/>
      <c r="V47" s="241"/>
      <c r="W47" s="241"/>
      <c r="X47" s="241"/>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c r="CZ47" s="241"/>
      <c r="DA47" s="241"/>
      <c r="DB47" s="241"/>
      <c r="DC47" s="241"/>
      <c r="DD47" s="241"/>
      <c r="DE47" s="241"/>
      <c r="DF47" s="241"/>
      <c r="DG47" s="241"/>
      <c r="DH47" s="241"/>
      <c r="DI47" s="241"/>
      <c r="DJ47" s="241"/>
      <c r="DK47" s="241"/>
      <c r="DL47" s="241"/>
      <c r="DM47" s="241"/>
      <c r="DN47" s="241"/>
      <c r="DO47" s="241"/>
      <c r="DP47" s="241"/>
      <c r="DQ47" s="241"/>
      <c r="DR47" s="241"/>
      <c r="DS47" s="241"/>
      <c r="DT47" s="241"/>
      <c r="DU47" s="241"/>
    </row>
    <row r="48" spans="1:125" ht="12.75">
      <c r="A48" s="241"/>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c r="CZ48" s="241"/>
      <c r="DA48" s="241"/>
      <c r="DB48" s="241"/>
      <c r="DC48" s="241"/>
      <c r="DD48" s="241"/>
      <c r="DE48" s="241"/>
      <c r="DF48" s="241"/>
      <c r="DG48" s="241"/>
      <c r="DH48" s="241"/>
      <c r="DI48" s="241"/>
      <c r="DJ48" s="241"/>
      <c r="DK48" s="241"/>
      <c r="DL48" s="241"/>
      <c r="DM48" s="241"/>
      <c r="DN48" s="241"/>
      <c r="DO48" s="241"/>
      <c r="DP48" s="241"/>
      <c r="DQ48" s="241"/>
      <c r="DR48" s="241"/>
      <c r="DS48" s="241"/>
      <c r="DT48" s="241"/>
      <c r="DU48" s="241"/>
    </row>
    <row r="49" spans="1:125" ht="12.75">
      <c r="A49" s="241"/>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c r="CZ49" s="241"/>
      <c r="DA49" s="241"/>
      <c r="DB49" s="241"/>
      <c r="DC49" s="241"/>
      <c r="DD49" s="241"/>
      <c r="DE49" s="241"/>
      <c r="DF49" s="241"/>
      <c r="DG49" s="241"/>
      <c r="DH49" s="241"/>
      <c r="DI49" s="241"/>
      <c r="DJ49" s="241"/>
      <c r="DK49" s="241"/>
      <c r="DL49" s="241"/>
      <c r="DM49" s="241"/>
      <c r="DN49" s="241"/>
      <c r="DO49" s="241"/>
      <c r="DP49" s="241"/>
      <c r="DQ49" s="241"/>
      <c r="DR49" s="241"/>
      <c r="DS49" s="241"/>
      <c r="DT49" s="241"/>
      <c r="DU49" s="241"/>
    </row>
    <row r="50" spans="1:125" ht="12.75">
      <c r="A50" s="241"/>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c r="CZ50" s="241"/>
      <c r="DA50" s="241"/>
      <c r="DB50" s="241"/>
      <c r="DC50" s="241"/>
      <c r="DD50" s="241"/>
      <c r="DE50" s="241"/>
      <c r="DF50" s="241"/>
      <c r="DG50" s="241"/>
      <c r="DH50" s="241"/>
      <c r="DI50" s="241"/>
      <c r="DJ50" s="241"/>
      <c r="DK50" s="241"/>
      <c r="DL50" s="241"/>
      <c r="DM50" s="241"/>
      <c r="DN50" s="241"/>
      <c r="DO50" s="241"/>
      <c r="DP50" s="241"/>
      <c r="DQ50" s="241"/>
      <c r="DR50" s="241"/>
      <c r="DS50" s="241"/>
      <c r="DT50" s="241"/>
      <c r="DU50" s="241"/>
    </row>
    <row r="51" spans="1:125" ht="12.75">
      <c r="A51" s="241"/>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c r="CZ51" s="241"/>
      <c r="DA51" s="241"/>
      <c r="DB51" s="241"/>
      <c r="DC51" s="241"/>
      <c r="DD51" s="241"/>
      <c r="DE51" s="241"/>
      <c r="DF51" s="241"/>
      <c r="DG51" s="241"/>
      <c r="DH51" s="241"/>
      <c r="DI51" s="241"/>
      <c r="DJ51" s="241"/>
      <c r="DK51" s="241"/>
      <c r="DL51" s="241"/>
      <c r="DM51" s="241"/>
      <c r="DN51" s="241"/>
      <c r="DO51" s="241"/>
      <c r="DP51" s="241"/>
      <c r="DQ51" s="241"/>
      <c r="DR51" s="241"/>
      <c r="DS51" s="241"/>
      <c r="DT51" s="241"/>
      <c r="DU51" s="241"/>
    </row>
    <row r="52" spans="1:125" ht="12.75">
      <c r="A52" s="241"/>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c r="DK52" s="241"/>
      <c r="DL52" s="241"/>
      <c r="DM52" s="241"/>
      <c r="DN52" s="241"/>
      <c r="DO52" s="241"/>
      <c r="DP52" s="241"/>
      <c r="DQ52" s="241"/>
      <c r="DR52" s="241"/>
      <c r="DS52" s="241"/>
      <c r="DT52" s="241"/>
      <c r="DU52" s="241"/>
    </row>
    <row r="53" spans="1:125" ht="12.75">
      <c r="A53" s="241"/>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c r="DO53" s="241"/>
      <c r="DP53" s="241"/>
      <c r="DQ53" s="241"/>
      <c r="DR53" s="241"/>
      <c r="DS53" s="241"/>
      <c r="DT53" s="241"/>
      <c r="DU53" s="241"/>
    </row>
    <row r="54" spans="1:125" ht="12.75">
      <c r="A54" s="241"/>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c r="DO54" s="241"/>
      <c r="DP54" s="241"/>
      <c r="DQ54" s="241"/>
      <c r="DR54" s="241"/>
      <c r="DS54" s="241"/>
      <c r="DT54" s="241"/>
      <c r="DU54" s="241"/>
    </row>
    <row r="55" spans="1:125" ht="12.75">
      <c r="A55" s="241"/>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241"/>
      <c r="DJ55" s="241"/>
      <c r="DK55" s="241"/>
      <c r="DL55" s="241"/>
      <c r="DM55" s="241"/>
      <c r="DN55" s="241"/>
      <c r="DO55" s="241"/>
      <c r="DP55" s="241"/>
      <c r="DQ55" s="241"/>
      <c r="DR55" s="241"/>
      <c r="DS55" s="241"/>
      <c r="DT55" s="241"/>
      <c r="DU55" s="241"/>
    </row>
    <row r="56" spans="1:125" ht="12.75">
      <c r="A56" s="241"/>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c r="DO56" s="241"/>
      <c r="DP56" s="241"/>
      <c r="DQ56" s="241"/>
      <c r="DR56" s="241"/>
      <c r="DS56" s="241"/>
      <c r="DT56" s="241"/>
      <c r="DU56" s="241"/>
    </row>
    <row r="57" spans="1:125" ht="12.75">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241"/>
      <c r="DQ57" s="241"/>
      <c r="DR57" s="241"/>
      <c r="DS57" s="241"/>
      <c r="DT57" s="241"/>
      <c r="DU57" s="241"/>
    </row>
    <row r="58" spans="1:125" ht="12.75">
      <c r="A58" s="241"/>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c r="DK58" s="241"/>
      <c r="DL58" s="241"/>
      <c r="DM58" s="241"/>
      <c r="DN58" s="241"/>
      <c r="DO58" s="241"/>
      <c r="DP58" s="241"/>
      <c r="DQ58" s="241"/>
      <c r="DR58" s="241"/>
      <c r="DS58" s="241"/>
      <c r="DT58" s="241"/>
      <c r="DU58" s="241"/>
    </row>
    <row r="59" spans="1:125" ht="12.75">
      <c r="A59" s="241"/>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c r="DK59" s="241"/>
      <c r="DL59" s="241"/>
      <c r="DM59" s="241"/>
      <c r="DN59" s="241"/>
      <c r="DO59" s="241"/>
      <c r="DP59" s="241"/>
      <c r="DQ59" s="241"/>
      <c r="DR59" s="241"/>
      <c r="DS59" s="241"/>
      <c r="DT59" s="241"/>
      <c r="DU59" s="241"/>
    </row>
    <row r="60" spans="1:125" ht="12.75">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c r="DO60" s="241"/>
      <c r="DP60" s="241"/>
      <c r="DQ60" s="241"/>
      <c r="DR60" s="241"/>
      <c r="DS60" s="241"/>
      <c r="DT60" s="241"/>
      <c r="DU60" s="241"/>
    </row>
    <row r="61" spans="1:125" ht="12.75">
      <c r="A61" s="241"/>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c r="CZ61" s="241"/>
      <c r="DA61" s="241"/>
      <c r="DB61" s="241"/>
      <c r="DC61" s="241"/>
      <c r="DD61" s="241"/>
      <c r="DE61" s="241"/>
      <c r="DF61" s="241"/>
      <c r="DG61" s="241"/>
      <c r="DH61" s="241"/>
      <c r="DI61" s="241"/>
      <c r="DJ61" s="241"/>
      <c r="DK61" s="241"/>
      <c r="DL61" s="241"/>
      <c r="DM61" s="241"/>
      <c r="DN61" s="241"/>
      <c r="DO61" s="241"/>
      <c r="DP61" s="241"/>
      <c r="DQ61" s="241"/>
      <c r="DR61" s="241"/>
      <c r="DS61" s="241"/>
      <c r="DT61" s="241"/>
      <c r="DU61" s="241"/>
    </row>
    <row r="62" spans="1:125" ht="12.75">
      <c r="A62" s="241"/>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c r="CZ62" s="241"/>
      <c r="DA62" s="241"/>
      <c r="DB62" s="241"/>
      <c r="DC62" s="241"/>
      <c r="DD62" s="241"/>
      <c r="DE62" s="241"/>
      <c r="DF62" s="241"/>
      <c r="DG62" s="241"/>
      <c r="DH62" s="241"/>
      <c r="DI62" s="241"/>
      <c r="DJ62" s="241"/>
      <c r="DK62" s="241"/>
      <c r="DL62" s="241"/>
      <c r="DM62" s="241"/>
      <c r="DN62" s="241"/>
      <c r="DO62" s="241"/>
      <c r="DP62" s="241"/>
      <c r="DQ62" s="241"/>
      <c r="DR62" s="241"/>
      <c r="DS62" s="241"/>
      <c r="DT62" s="241"/>
      <c r="DU62" s="241"/>
    </row>
    <row r="63" spans="1:125" ht="12.75">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row>
    <row r="64" spans="1:125" ht="12.7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row>
    <row r="65" spans="1:125" ht="12.75">
      <c r="A65" s="241"/>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row>
    <row r="66" spans="1:125" ht="12.75">
      <c r="A66" s="241"/>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row>
    <row r="67" spans="1:125" ht="12.75">
      <c r="A67" s="241"/>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c r="CZ67" s="241"/>
      <c r="DA67" s="241"/>
      <c r="DB67" s="241"/>
      <c r="DC67" s="241"/>
      <c r="DD67" s="241"/>
      <c r="DE67" s="241"/>
      <c r="DF67" s="241"/>
      <c r="DG67" s="241"/>
      <c r="DH67" s="241"/>
      <c r="DI67" s="241"/>
      <c r="DJ67" s="241"/>
      <c r="DK67" s="241"/>
      <c r="DL67" s="241"/>
      <c r="DM67" s="241"/>
      <c r="DN67" s="241"/>
      <c r="DO67" s="241"/>
      <c r="DP67" s="241"/>
      <c r="DQ67" s="241"/>
      <c r="DR67" s="241"/>
      <c r="DS67" s="241"/>
      <c r="DT67" s="241"/>
      <c r="DU67" s="241"/>
    </row>
    <row r="68" spans="1:125" ht="12.75">
      <c r="A68" s="241"/>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c r="CZ68" s="241"/>
      <c r="DA68" s="241"/>
      <c r="DB68" s="241"/>
      <c r="DC68" s="241"/>
      <c r="DD68" s="241"/>
      <c r="DE68" s="241"/>
      <c r="DF68" s="241"/>
      <c r="DG68" s="241"/>
      <c r="DH68" s="241"/>
      <c r="DI68" s="241"/>
      <c r="DJ68" s="241"/>
      <c r="DK68" s="241"/>
      <c r="DL68" s="241"/>
      <c r="DM68" s="241"/>
      <c r="DN68" s="241"/>
      <c r="DO68" s="241"/>
      <c r="DP68" s="241"/>
      <c r="DQ68" s="241"/>
      <c r="DR68" s="241"/>
      <c r="DS68" s="241"/>
      <c r="DT68" s="241"/>
      <c r="DU68" s="241"/>
    </row>
    <row r="69" spans="1:125" ht="12.75">
      <c r="A69" s="241"/>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c r="CZ69" s="241"/>
      <c r="DA69" s="241"/>
      <c r="DB69" s="241"/>
      <c r="DC69" s="241"/>
      <c r="DD69" s="241"/>
      <c r="DE69" s="241"/>
      <c r="DF69" s="241"/>
      <c r="DG69" s="241"/>
      <c r="DH69" s="241"/>
      <c r="DI69" s="241"/>
      <c r="DJ69" s="241"/>
      <c r="DK69" s="241"/>
      <c r="DL69" s="241"/>
      <c r="DM69" s="241"/>
      <c r="DN69" s="241"/>
      <c r="DO69" s="241"/>
      <c r="DP69" s="241"/>
      <c r="DQ69" s="241"/>
      <c r="DR69" s="241"/>
      <c r="DS69" s="241"/>
      <c r="DT69" s="241"/>
      <c r="DU69" s="241"/>
    </row>
    <row r="70" spans="1:125" ht="12.75">
      <c r="A70" s="241"/>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c r="CZ70" s="241"/>
      <c r="DA70" s="241"/>
      <c r="DB70" s="241"/>
      <c r="DC70" s="241"/>
      <c r="DD70" s="241"/>
      <c r="DE70" s="241"/>
      <c r="DF70" s="241"/>
      <c r="DG70" s="241"/>
      <c r="DH70" s="241"/>
      <c r="DI70" s="241"/>
      <c r="DJ70" s="241"/>
      <c r="DK70" s="241"/>
      <c r="DL70" s="241"/>
      <c r="DM70" s="241"/>
      <c r="DN70" s="241"/>
      <c r="DO70" s="241"/>
      <c r="DP70" s="241"/>
      <c r="DQ70" s="241"/>
      <c r="DR70" s="241"/>
      <c r="DS70" s="241"/>
      <c r="DT70" s="241"/>
      <c r="DU70" s="241"/>
    </row>
    <row r="71" spans="1:125" ht="12.75">
      <c r="A71" s="241"/>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c r="DK71" s="241"/>
      <c r="DL71" s="241"/>
      <c r="DM71" s="241"/>
      <c r="DN71" s="241"/>
      <c r="DO71" s="241"/>
      <c r="DP71" s="241"/>
      <c r="DQ71" s="241"/>
      <c r="DR71" s="241"/>
      <c r="DS71" s="241"/>
      <c r="DT71" s="241"/>
      <c r="DU71" s="241"/>
    </row>
    <row r="72" spans="1:46" ht="12.75">
      <c r="A72" s="241"/>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row>
  </sheetData>
  <sheetProtection sheet="1" objects="1" scenarios="1"/>
  <mergeCells count="6">
    <mergeCell ref="E4:X4"/>
    <mergeCell ref="E6:X6"/>
    <mergeCell ref="S25:T27"/>
    <mergeCell ref="E23:J23"/>
    <mergeCell ref="G14:H14"/>
    <mergeCell ref="E19:J19"/>
  </mergeCells>
  <printOptions horizontalCentered="1"/>
  <pageMargins left="0.25" right="0.25" top="0.65" bottom="1" header="0.43" footer="0.5"/>
  <pageSetup horizontalDpi="600" verticalDpi="600" orientation="landscape" paperSize="9" scale="55" r:id="rId2"/>
  <headerFooter alignWithMargins="0">
    <oddFooter>&amp;C&amp;"Arial,Regular"&amp;8Questionnaire UNSD/PNUE 2010 sur les Statistiques de l’environnement - Section d'eau -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sheetPr codeName="Sheet4"/>
  <dimension ref="A1:CJ198"/>
  <sheetViews>
    <sheetView showGridLines="0" zoomScale="83" zoomScaleNormal="83" zoomScaleSheetLayoutView="85" workbookViewId="0" topLeftCell="C1">
      <selection activeCell="B6" sqref="B6:D6"/>
    </sheetView>
  </sheetViews>
  <sheetFormatPr defaultColWidth="9.33203125" defaultRowHeight="12.75"/>
  <cols>
    <col min="1" max="1" width="14" style="424" hidden="1" customWidth="1"/>
    <col min="2" max="2" width="4.5" style="398" hidden="1" customWidth="1"/>
    <col min="3" max="3" width="11.16015625" style="0" customWidth="1"/>
    <col min="4" max="4" width="37" style="17" customWidth="1"/>
    <col min="5" max="5" width="10.16015625" style="22" customWidth="1"/>
    <col min="6" max="6" width="10.5" style="0" customWidth="1"/>
    <col min="7" max="7" width="1.83203125" style="161" customWidth="1"/>
    <col min="8" max="8" width="7" style="177" customWidth="1"/>
    <col min="9" max="9" width="1.83203125" style="165" customWidth="1"/>
    <col min="10" max="10" width="7" style="177" customWidth="1"/>
    <col min="11" max="11" width="1.83203125" style="165" customWidth="1"/>
    <col min="12" max="12" width="7" style="177" hidden="1" customWidth="1"/>
    <col min="13" max="13" width="1.83203125" style="165" hidden="1" customWidth="1"/>
    <col min="14" max="14" width="7" style="177" hidden="1" customWidth="1"/>
    <col min="15" max="15" width="1.83203125" style="165" hidden="1" customWidth="1"/>
    <col min="16" max="16" width="7" style="177" hidden="1" customWidth="1"/>
    <col min="17" max="17" width="1.83203125" style="161" hidden="1" customWidth="1"/>
    <col min="18" max="18" width="7" style="177" hidden="1" customWidth="1"/>
    <col min="19" max="19" width="1.83203125" style="161" hidden="1" customWidth="1"/>
    <col min="20" max="20" width="7" style="177" customWidth="1"/>
    <col min="21" max="21" width="1.83203125" style="161" customWidth="1"/>
    <col min="22" max="22" width="7" style="177" customWidth="1"/>
    <col min="23" max="23" width="1.83203125" style="161" customWidth="1"/>
    <col min="24" max="24" width="7" style="177" customWidth="1"/>
    <col min="25" max="25" width="1.83203125" style="161" customWidth="1"/>
    <col min="26" max="26" width="7" style="177" customWidth="1"/>
    <col min="27" max="27" width="1.83203125" style="161" customWidth="1"/>
    <col min="28" max="28" width="7" style="177" customWidth="1"/>
    <col min="29" max="29" width="1.83203125" style="165" customWidth="1"/>
    <col min="30" max="30" width="7" style="177" customWidth="1"/>
    <col min="31" max="31" width="1.83203125" style="161" customWidth="1"/>
    <col min="32" max="32" width="7" style="177" customWidth="1"/>
    <col min="33" max="33" width="1.83203125" style="161" customWidth="1"/>
    <col min="34" max="34" width="7" style="177" customWidth="1"/>
    <col min="35" max="35" width="1.83203125" style="161" customWidth="1"/>
    <col min="36" max="36" width="7" style="177" customWidth="1"/>
    <col min="37" max="37" width="1.83203125" style="0" customWidth="1"/>
    <col min="38" max="38" width="7" style="0" customWidth="1"/>
    <col min="39" max="40" width="1.83203125" style="0" customWidth="1"/>
    <col min="41" max="41" width="6.5" style="307" customWidth="1"/>
    <col min="42" max="42" width="6.83203125" style="307" customWidth="1"/>
    <col min="43" max="43" width="34.66015625" style="307" customWidth="1"/>
    <col min="44" max="44" width="9.33203125" style="307" customWidth="1"/>
    <col min="45" max="45" width="11.33203125" style="307" customWidth="1"/>
    <col min="46" max="46" width="1.83203125" style="307" customWidth="1"/>
    <col min="47" max="47" width="9.33203125" style="307" customWidth="1"/>
    <col min="48" max="48" width="1.83203125" style="307" customWidth="1"/>
    <col min="49" max="49" width="9.33203125" style="307" customWidth="1"/>
    <col min="50" max="50" width="1.83203125" style="307" customWidth="1"/>
    <col min="51" max="51" width="9.33203125" style="307" customWidth="1"/>
    <col min="52" max="52" width="1.83203125" style="307" customWidth="1"/>
    <col min="53" max="53" width="9.33203125" style="307" customWidth="1"/>
    <col min="54" max="54" width="1.83203125" style="307" customWidth="1"/>
    <col min="55" max="55" width="9.33203125" style="307" customWidth="1"/>
    <col min="56" max="56" width="1.83203125" style="307" customWidth="1"/>
    <col min="57" max="57" width="9.33203125" style="307" customWidth="1"/>
    <col min="58" max="58" width="1.83203125" style="307" customWidth="1"/>
    <col min="59" max="59" width="9.33203125" style="307" customWidth="1"/>
    <col min="60" max="60" width="1.83203125" style="307" customWidth="1"/>
    <col min="61" max="61" width="9.33203125" style="307" customWidth="1"/>
    <col min="62" max="62" width="1.83203125" style="307" customWidth="1"/>
    <col min="63" max="63" width="9.33203125" style="307" customWidth="1"/>
    <col min="64" max="64" width="1.83203125" style="307" customWidth="1"/>
    <col min="65" max="65" width="9.33203125" style="307" customWidth="1"/>
    <col min="66" max="66" width="1.83203125" style="307" customWidth="1"/>
    <col min="67" max="67" width="9.33203125" style="307" customWidth="1"/>
    <col min="68" max="68" width="1.83203125" style="307" customWidth="1"/>
    <col min="69" max="69" width="9.33203125" style="307" customWidth="1"/>
    <col min="70" max="70" width="1.83203125" style="307" customWidth="1"/>
    <col min="71" max="71" width="9.33203125" style="307" customWidth="1"/>
    <col min="72" max="72" width="1.83203125" style="307" customWidth="1"/>
    <col min="73" max="73" width="9.33203125" style="307" customWidth="1"/>
    <col min="74" max="74" width="1.83203125" style="307" customWidth="1"/>
    <col min="75" max="75" width="9.33203125" style="307" customWidth="1"/>
    <col min="76" max="76" width="1.83203125" style="307" customWidth="1"/>
    <col min="77" max="77" width="9.33203125" style="307" customWidth="1"/>
    <col min="78" max="78" width="1.83203125" style="307" customWidth="1"/>
    <col min="79" max="79" width="3.5" style="0" customWidth="1"/>
    <col min="80" max="80" width="9.33203125" style="307" customWidth="1"/>
    <col min="81" max="81" width="21.66015625" style="307" customWidth="1"/>
    <col min="82" max="85" width="9.33203125" style="307" customWidth="1"/>
  </cols>
  <sheetData>
    <row r="1" spans="2:42" ht="15.75" customHeight="1">
      <c r="B1" s="398">
        <v>0</v>
      </c>
      <c r="C1" s="113" t="s">
        <v>263</v>
      </c>
      <c r="D1" s="110"/>
      <c r="E1" s="111"/>
      <c r="F1" s="112"/>
      <c r="G1" s="160"/>
      <c r="H1" s="176"/>
      <c r="I1" s="164"/>
      <c r="J1" s="176"/>
      <c r="K1" s="164"/>
      <c r="L1" s="176"/>
      <c r="M1" s="164"/>
      <c r="N1" s="176"/>
      <c r="O1" s="164"/>
      <c r="P1" s="176"/>
      <c r="Q1" s="160"/>
      <c r="R1" s="176"/>
      <c r="S1" s="160"/>
      <c r="T1" s="176"/>
      <c r="U1" s="160"/>
      <c r="V1" s="176"/>
      <c r="W1" s="160"/>
      <c r="X1" s="176"/>
      <c r="Y1" s="160"/>
      <c r="Z1" s="176"/>
      <c r="AA1" s="160"/>
      <c r="AB1" s="176"/>
      <c r="AC1" s="164"/>
      <c r="AD1" s="176"/>
      <c r="AE1" s="160"/>
      <c r="AF1" s="176"/>
      <c r="AG1" s="160"/>
      <c r="AH1" s="176"/>
      <c r="AI1" s="160"/>
      <c r="AJ1" s="176"/>
      <c r="AK1" s="115"/>
      <c r="AL1" s="224"/>
      <c r="AM1" s="224"/>
      <c r="AN1" s="224"/>
      <c r="AP1" s="437" t="s">
        <v>52</v>
      </c>
    </row>
    <row r="2" spans="3:40" ht="6.75" customHeight="1">
      <c r="C2" s="125"/>
      <c r="D2" s="228"/>
      <c r="E2" s="229"/>
      <c r="F2" s="230"/>
      <c r="G2" s="231"/>
      <c r="H2" s="232"/>
      <c r="I2" s="233"/>
      <c r="J2" s="232"/>
      <c r="K2" s="233"/>
      <c r="L2" s="232"/>
      <c r="M2" s="233"/>
      <c r="N2" s="232"/>
      <c r="O2" s="233"/>
      <c r="P2" s="232"/>
      <c r="Q2" s="231"/>
      <c r="R2" s="232"/>
      <c r="S2" s="231"/>
      <c r="T2" s="232"/>
      <c r="U2" s="231"/>
      <c r="V2" s="232"/>
      <c r="W2" s="231"/>
      <c r="X2" s="232"/>
      <c r="Y2" s="231"/>
      <c r="Z2" s="232"/>
      <c r="AA2" s="231"/>
      <c r="AB2" s="232"/>
      <c r="AC2" s="233"/>
      <c r="AD2" s="232"/>
      <c r="AE2" s="231"/>
      <c r="AF2" s="232"/>
      <c r="AG2" s="231"/>
      <c r="AH2" s="232"/>
      <c r="AI2" s="231"/>
      <c r="AJ2" s="232"/>
      <c r="AK2" s="27"/>
      <c r="AL2" s="24"/>
      <c r="AM2" s="24"/>
      <c r="AN2" s="24"/>
    </row>
    <row r="3" spans="3:78" ht="24" customHeight="1">
      <c r="C3" s="127" t="s">
        <v>31</v>
      </c>
      <c r="D3" s="603"/>
      <c r="E3" s="587"/>
      <c r="F3" s="588"/>
      <c r="G3" s="169"/>
      <c r="H3" s="188"/>
      <c r="I3" s="171"/>
      <c r="J3" s="188"/>
      <c r="K3" s="171"/>
      <c r="L3" s="188"/>
      <c r="M3" s="171"/>
      <c r="N3" s="188"/>
      <c r="O3" s="171"/>
      <c r="P3" s="188"/>
      <c r="Q3" s="169"/>
      <c r="R3" s="188"/>
      <c r="S3" s="169"/>
      <c r="T3" s="188"/>
      <c r="U3" s="169"/>
      <c r="X3" s="183"/>
      <c r="Y3" s="127" t="s">
        <v>32</v>
      </c>
      <c r="Z3" s="188"/>
      <c r="AA3" s="169"/>
      <c r="AB3" s="188"/>
      <c r="AC3" s="171"/>
      <c r="AD3" s="188"/>
      <c r="AE3" s="169"/>
      <c r="AF3" s="188"/>
      <c r="AG3" s="169"/>
      <c r="AH3" s="188"/>
      <c r="AI3" s="169"/>
      <c r="AJ3" s="188"/>
      <c r="AK3" s="13"/>
      <c r="AL3" s="589"/>
      <c r="AM3" s="589"/>
      <c r="AN3" s="589"/>
      <c r="AP3" s="663" t="s">
        <v>53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row>
    <row r="4" spans="1:85" s="130" customFormat="1" ht="2.25" customHeight="1">
      <c r="A4" s="424"/>
      <c r="B4" s="39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308"/>
      <c r="AP4" s="469"/>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B4" s="308"/>
      <c r="CC4" s="308"/>
      <c r="CD4" s="308"/>
      <c r="CE4" s="308"/>
      <c r="CF4" s="308"/>
      <c r="CG4" s="308"/>
    </row>
    <row r="5" spans="1:85" s="50" customFormat="1" ht="17.25" customHeight="1">
      <c r="A5" s="401"/>
      <c r="B5" s="398">
        <v>1</v>
      </c>
      <c r="C5" s="682" t="s">
        <v>33</v>
      </c>
      <c r="D5" s="682"/>
      <c r="E5" s="683"/>
      <c r="F5" s="683"/>
      <c r="G5" s="683"/>
      <c r="H5" s="684"/>
      <c r="I5" s="684"/>
      <c r="J5" s="684"/>
      <c r="K5" s="684"/>
      <c r="L5" s="684"/>
      <c r="M5" s="684"/>
      <c r="N5" s="684"/>
      <c r="O5" s="684"/>
      <c r="P5" s="684"/>
      <c r="Q5" s="683"/>
      <c r="R5" s="684"/>
      <c r="S5" s="683"/>
      <c r="T5" s="684"/>
      <c r="U5" s="683"/>
      <c r="V5" s="684"/>
      <c r="W5" s="683"/>
      <c r="X5" s="684"/>
      <c r="Y5" s="683"/>
      <c r="Z5" s="684"/>
      <c r="AA5" s="683"/>
      <c r="AB5" s="684"/>
      <c r="AC5" s="684"/>
      <c r="AD5" s="684"/>
      <c r="AE5" s="683"/>
      <c r="AF5" s="684"/>
      <c r="AG5" s="683"/>
      <c r="AH5" s="684"/>
      <c r="AI5" s="683"/>
      <c r="AJ5" s="684"/>
      <c r="AK5" s="122"/>
      <c r="AL5" s="557"/>
      <c r="AM5" s="557"/>
      <c r="AN5" s="557"/>
      <c r="AO5" s="309"/>
      <c r="AP5" s="470" t="s">
        <v>54</v>
      </c>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B5" s="681" t="s">
        <v>490</v>
      </c>
      <c r="CC5" s="681"/>
      <c r="CD5" s="681"/>
      <c r="CE5" s="681"/>
      <c r="CF5" s="681"/>
      <c r="CG5" s="681"/>
    </row>
    <row r="6" spans="5:85" ht="24" customHeight="1">
      <c r="E6" s="21"/>
      <c r="F6" s="2"/>
      <c r="T6" s="590" t="s">
        <v>34</v>
      </c>
      <c r="V6" s="262"/>
      <c r="W6" s="263"/>
      <c r="X6" s="262"/>
      <c r="Y6" s="264"/>
      <c r="Z6" s="262"/>
      <c r="AA6" s="264"/>
      <c r="AB6" s="262"/>
      <c r="AC6" s="265"/>
      <c r="AF6" s="349"/>
      <c r="AG6" s="349"/>
      <c r="AH6" s="349"/>
      <c r="AI6" s="349"/>
      <c r="AJ6" s="349"/>
      <c r="AK6" s="349"/>
      <c r="AL6" s="349"/>
      <c r="AM6" s="350" t="s">
        <v>35</v>
      </c>
      <c r="AN6" s="8"/>
      <c r="AP6" s="664" t="s">
        <v>55</v>
      </c>
      <c r="AQ6" s="664"/>
      <c r="AR6" s="664"/>
      <c r="AS6" s="664"/>
      <c r="AT6" s="664"/>
      <c r="AU6" s="664"/>
      <c r="AV6" s="664"/>
      <c r="AW6" s="664"/>
      <c r="AX6" s="664"/>
      <c r="AY6" s="664"/>
      <c r="AZ6" s="664"/>
      <c r="BA6" s="664"/>
      <c r="BB6" s="664"/>
      <c r="BC6" s="664"/>
      <c r="BD6" s="664"/>
      <c r="BE6" s="664"/>
      <c r="BF6" s="664"/>
      <c r="BG6" s="664"/>
      <c r="BH6" s="664"/>
      <c r="BI6" s="664"/>
      <c r="BJ6" s="664"/>
      <c r="BK6" s="664"/>
      <c r="BL6" s="664"/>
      <c r="BM6" s="664"/>
      <c r="BN6" s="664"/>
      <c r="BO6" s="664"/>
      <c r="BP6" s="664"/>
      <c r="BQ6" s="664"/>
      <c r="BR6" s="664"/>
      <c r="BS6" s="664"/>
      <c r="BT6" s="664"/>
      <c r="BU6" s="664"/>
      <c r="BV6" s="664"/>
      <c r="BW6" s="664"/>
      <c r="BX6" s="664"/>
      <c r="BY6" s="664"/>
      <c r="BZ6" s="664"/>
      <c r="CB6" s="462" t="s">
        <v>177</v>
      </c>
      <c r="CC6" s="462" t="s">
        <v>178</v>
      </c>
      <c r="CD6" s="463" t="s">
        <v>179</v>
      </c>
      <c r="CE6" s="463" t="s">
        <v>493</v>
      </c>
      <c r="CF6" s="463" t="s">
        <v>180</v>
      </c>
      <c r="CG6" s="463" t="s">
        <v>181</v>
      </c>
    </row>
    <row r="7" spans="1:85" s="16" customFormat="1" ht="42.75" customHeight="1">
      <c r="A7" s="403"/>
      <c r="B7" s="402">
        <v>2</v>
      </c>
      <c r="C7" s="64" t="s">
        <v>36</v>
      </c>
      <c r="D7" s="64" t="s">
        <v>37</v>
      </c>
      <c r="E7" s="63" t="s">
        <v>38</v>
      </c>
      <c r="F7" s="135" t="s">
        <v>39</v>
      </c>
      <c r="G7" s="199"/>
      <c r="H7" s="136">
        <v>1990</v>
      </c>
      <c r="I7" s="199"/>
      <c r="J7" s="136">
        <v>1995</v>
      </c>
      <c r="K7" s="199"/>
      <c r="L7" s="136">
        <v>1996</v>
      </c>
      <c r="M7" s="199"/>
      <c r="N7" s="136">
        <v>1997</v>
      </c>
      <c r="O7" s="199"/>
      <c r="P7" s="136">
        <v>1998</v>
      </c>
      <c r="Q7" s="199"/>
      <c r="R7" s="136">
        <v>1999</v>
      </c>
      <c r="S7" s="199"/>
      <c r="T7" s="136">
        <v>2000</v>
      </c>
      <c r="U7" s="199"/>
      <c r="V7" s="136">
        <v>2001</v>
      </c>
      <c r="W7" s="199"/>
      <c r="X7" s="136">
        <v>2002</v>
      </c>
      <c r="Y7" s="199"/>
      <c r="Z7" s="136">
        <v>2003</v>
      </c>
      <c r="AA7" s="199"/>
      <c r="AB7" s="136">
        <v>2004</v>
      </c>
      <c r="AC7" s="199"/>
      <c r="AD7" s="136">
        <v>2005</v>
      </c>
      <c r="AE7" s="199"/>
      <c r="AF7" s="136">
        <v>2006</v>
      </c>
      <c r="AG7" s="199"/>
      <c r="AH7" s="136">
        <v>2007</v>
      </c>
      <c r="AI7" s="199"/>
      <c r="AJ7" s="136">
        <v>2008</v>
      </c>
      <c r="AK7" s="199"/>
      <c r="AL7" s="136">
        <v>2009</v>
      </c>
      <c r="AM7" s="199"/>
      <c r="AO7" s="375"/>
      <c r="AP7" s="64" t="s">
        <v>157</v>
      </c>
      <c r="AQ7" s="64" t="s">
        <v>164</v>
      </c>
      <c r="AR7" s="64" t="s">
        <v>166</v>
      </c>
      <c r="AS7" s="135" t="s">
        <v>174</v>
      </c>
      <c r="AT7" s="199"/>
      <c r="AU7" s="136">
        <v>1990</v>
      </c>
      <c r="AV7" s="199"/>
      <c r="AW7" s="136">
        <v>1995</v>
      </c>
      <c r="AX7" s="199"/>
      <c r="AY7" s="136">
        <v>1996</v>
      </c>
      <c r="AZ7" s="199"/>
      <c r="BA7" s="136">
        <v>1997</v>
      </c>
      <c r="BB7" s="199"/>
      <c r="BC7" s="136">
        <v>1998</v>
      </c>
      <c r="BD7" s="199"/>
      <c r="BE7" s="136">
        <v>1999</v>
      </c>
      <c r="BF7" s="199"/>
      <c r="BG7" s="136">
        <v>2000</v>
      </c>
      <c r="BH7" s="199"/>
      <c r="BI7" s="136">
        <v>2001</v>
      </c>
      <c r="BJ7" s="199"/>
      <c r="BK7" s="136">
        <v>2002</v>
      </c>
      <c r="BL7" s="199"/>
      <c r="BM7" s="136">
        <v>2003</v>
      </c>
      <c r="BN7" s="199"/>
      <c r="BO7" s="136">
        <v>2004</v>
      </c>
      <c r="BP7" s="199"/>
      <c r="BQ7" s="136">
        <v>2005</v>
      </c>
      <c r="BR7" s="199"/>
      <c r="BS7" s="136">
        <v>2006</v>
      </c>
      <c r="BT7" s="199"/>
      <c r="BU7" s="136">
        <v>2007</v>
      </c>
      <c r="BV7" s="199"/>
      <c r="BW7" s="136">
        <v>2008</v>
      </c>
      <c r="BX7" s="199"/>
      <c r="BY7" s="136">
        <v>2009</v>
      </c>
      <c r="BZ7" s="199"/>
      <c r="CB7" s="464">
        <v>4</v>
      </c>
      <c r="CC7" s="465" t="s">
        <v>182</v>
      </c>
      <c r="CD7" s="464">
        <v>213429.0625</v>
      </c>
      <c r="CE7" s="464">
        <v>55000</v>
      </c>
      <c r="CF7" s="464">
        <v>10000</v>
      </c>
      <c r="CG7" s="464">
        <v>65000</v>
      </c>
    </row>
    <row r="8" spans="1:85" s="15" customFormat="1" ht="22.5" customHeight="1">
      <c r="A8" s="438"/>
      <c r="B8" s="425">
        <v>6</v>
      </c>
      <c r="C8" s="62">
        <v>1</v>
      </c>
      <c r="D8" s="105" t="s">
        <v>358</v>
      </c>
      <c r="E8" s="62" t="s">
        <v>40</v>
      </c>
      <c r="F8" s="137"/>
      <c r="G8" s="178"/>
      <c r="H8" s="149"/>
      <c r="I8" s="178"/>
      <c r="J8" s="149"/>
      <c r="K8" s="178"/>
      <c r="L8" s="149"/>
      <c r="M8" s="178"/>
      <c r="N8" s="149"/>
      <c r="O8" s="178"/>
      <c r="P8" s="137"/>
      <c r="Q8" s="178"/>
      <c r="R8" s="137"/>
      <c r="S8" s="178"/>
      <c r="T8" s="137"/>
      <c r="U8" s="178"/>
      <c r="V8" s="137"/>
      <c r="W8" s="178"/>
      <c r="X8" s="137"/>
      <c r="Y8" s="178"/>
      <c r="Z8" s="137"/>
      <c r="AA8" s="178"/>
      <c r="AB8" s="149"/>
      <c r="AC8" s="178"/>
      <c r="AD8" s="137"/>
      <c r="AE8" s="178"/>
      <c r="AF8" s="137"/>
      <c r="AG8" s="178"/>
      <c r="AH8" s="137"/>
      <c r="AI8" s="178"/>
      <c r="AJ8" s="137"/>
      <c r="AK8" s="178"/>
      <c r="AL8" s="137"/>
      <c r="AM8" s="178"/>
      <c r="AO8" s="435"/>
      <c r="AP8" s="310">
        <v>1</v>
      </c>
      <c r="AQ8" s="471" t="s">
        <v>640</v>
      </c>
      <c r="AR8" s="472" t="s">
        <v>641</v>
      </c>
      <c r="AS8" s="434" t="str">
        <f aca="true" t="shared" si="0" ref="AS8:AS13">IF(OR(ISERR(AVERAGE(H8:AL8)),ISBLANK(F8)),"N/A",IF(OR(F8&lt;AVERAGE(H8:AL8)*0.75,F8&gt;AVERAGE(H8:AL8)*1.25),"&lt;&gt;","ok"))</f>
        <v>N/A</v>
      </c>
      <c r="AT8" s="313"/>
      <c r="AU8" s="312" t="s">
        <v>644</v>
      </c>
      <c r="AV8" s="313"/>
      <c r="AW8" s="325" t="str">
        <f aca="true" t="shared" si="1" ref="AW8:AW13">IF(OR(ISBLANK(H8),ISBLANK(J8)),"N/A",IF(ABS((J8-H8)/H8)&gt;0.25,"&gt; 25%","ok"))</f>
        <v>N/A</v>
      </c>
      <c r="AX8" s="313"/>
      <c r="AY8" s="325" t="str">
        <f aca="true" t="shared" si="2" ref="AY8:AY13">IF(OR(ISBLANK(J8),ISBLANK(L8)),"N/A",IF(ABS((L8-J8)/J8)&gt;0.25,"&gt; 25%","ok"))</f>
        <v>N/A</v>
      </c>
      <c r="AZ8" s="313"/>
      <c r="BA8" s="325" t="str">
        <f aca="true" t="shared" si="3" ref="BA8:BA13">IF(OR(ISBLANK(L8),ISBLANK(N8)),"N/A",IF(ABS((N8-L8)/L8)&gt;0.25,"&gt; 25%","ok"))</f>
        <v>N/A</v>
      </c>
      <c r="BB8" s="313"/>
      <c r="BC8" s="325" t="str">
        <f aca="true" t="shared" si="4" ref="BC8:BC13">IF(OR(ISBLANK(N8),ISBLANK(P8)),"N/A",IF(ABS((P8-N8)/N8)&gt;0.25,"&gt; 25%","ok"))</f>
        <v>N/A</v>
      </c>
      <c r="BD8" s="313"/>
      <c r="BE8" s="325" t="str">
        <f aca="true" t="shared" si="5" ref="BE8:BE13">IF(OR(ISBLANK(P8),ISBLANK(R8)),"N/A",IF(ABS((R8-P8)/P8)&gt;0.25,"&gt; 25%","ok"))</f>
        <v>N/A</v>
      </c>
      <c r="BF8" s="313"/>
      <c r="BG8" s="325" t="str">
        <f aca="true" t="shared" si="6" ref="BG8:BG13">IF(OR(ISBLANK(R8),ISBLANK(T8)),"N/A",IF(ABS((T8-R8)/R8)&gt;0.25,"&gt; 25%","ok"))</f>
        <v>N/A</v>
      </c>
      <c r="BH8" s="313"/>
      <c r="BI8" s="325" t="str">
        <f aca="true" t="shared" si="7" ref="BI8:BI13">IF(OR(ISBLANK(T8),ISBLANK(V8)),"N/A",IF(ABS((V8-T8)/T8)&gt;0.25,"&gt; 25%","ok"))</f>
        <v>N/A</v>
      </c>
      <c r="BJ8" s="313"/>
      <c r="BK8" s="325" t="str">
        <f aca="true" t="shared" si="8" ref="BK8:BK13">IF(OR(ISBLANK(V8),ISBLANK(X8)),"N/A",IF(ABS((X8-V8)/V8)&gt;0.25,"&gt; 25%","ok"))</f>
        <v>N/A</v>
      </c>
      <c r="BL8" s="313"/>
      <c r="BM8" s="325" t="str">
        <f aca="true" t="shared" si="9" ref="BM8:BM13">IF(OR(ISBLANK(X8),ISBLANK(Z8)),"N/A",IF(ABS((Z8-X8)/X8)&gt;0.25,"&gt; 25%","ok"))</f>
        <v>N/A</v>
      </c>
      <c r="BN8" s="313"/>
      <c r="BO8" s="325" t="str">
        <f aca="true" t="shared" si="10" ref="BO8:BO13">IF(OR(ISBLANK(Z8),ISBLANK(AB8)),"N/A",IF(ABS((AB8-Z8)/Z8)&gt;0.25,"&gt; 25%","ok"))</f>
        <v>N/A</v>
      </c>
      <c r="BP8" s="313"/>
      <c r="BQ8" s="325" t="str">
        <f aca="true" t="shared" si="11" ref="BQ8:BQ13">IF(OR(ISBLANK(AB8),ISBLANK(AD8)),"N/A",IF(ABS((AD8-AB8)/AB8)&gt;0.25,"&gt; 25%","ok"))</f>
        <v>N/A</v>
      </c>
      <c r="BR8" s="313"/>
      <c r="BS8" s="325" t="str">
        <f aca="true" t="shared" si="12" ref="BS8:BS13">IF(OR(ISBLANK(AD8),ISBLANK(AF8)),"N/A",IF(ABS((AF8-AD8)/AD8)&gt;0.25,"&gt; 25%","ok"))</f>
        <v>N/A</v>
      </c>
      <c r="BT8" s="313"/>
      <c r="BU8" s="325" t="str">
        <f aca="true" t="shared" si="13" ref="BU8:BU13">IF(OR(ISBLANK(AF8),ISBLANK(AH8)),"N/A",IF(ABS((AH8-AF8)/AF8)&gt;0.25,"&gt; 25%","ok"))</f>
        <v>N/A</v>
      </c>
      <c r="BV8" s="313"/>
      <c r="BW8" s="325" t="str">
        <f aca="true" t="shared" si="14" ref="BW8:BW13">IF(OR(ISBLANK(AH8),ISBLANK(AJ8)),"N/A",IF(ABS((AJ8-AH8)/AH8)&gt;0.25,"&gt; 25%","ok"))</f>
        <v>N/A</v>
      </c>
      <c r="BX8" s="313"/>
      <c r="BY8" s="325" t="str">
        <f aca="true" t="shared" si="15" ref="BY8:BY13">IF(OR(ISBLANK(AJ8),ISBLANK(AL8)),"N/A",IF(ABS((AL8-AJ8)/AJ8)&gt;0.25,"&gt; 25%","ok"))</f>
        <v>N/A</v>
      </c>
      <c r="BZ8" s="313"/>
      <c r="CB8" s="464">
        <v>8</v>
      </c>
      <c r="CC8" s="465" t="s">
        <v>183</v>
      </c>
      <c r="CD8" s="464">
        <v>42700</v>
      </c>
      <c r="CE8" s="464">
        <v>26900</v>
      </c>
      <c r="CF8" s="464">
        <v>14800</v>
      </c>
      <c r="CG8" s="464">
        <v>41700</v>
      </c>
    </row>
    <row r="9" spans="1:85" s="15" customFormat="1" ht="22.5" customHeight="1">
      <c r="A9" s="438"/>
      <c r="B9" s="425">
        <v>7</v>
      </c>
      <c r="C9" s="25">
        <v>2</v>
      </c>
      <c r="D9" s="106" t="s">
        <v>360</v>
      </c>
      <c r="E9" s="25" t="s">
        <v>40</v>
      </c>
      <c r="F9" s="138"/>
      <c r="G9" s="179"/>
      <c r="H9" s="154"/>
      <c r="I9" s="179"/>
      <c r="J9" s="154"/>
      <c r="K9" s="179"/>
      <c r="L9" s="154"/>
      <c r="M9" s="179"/>
      <c r="N9" s="154"/>
      <c r="O9" s="179"/>
      <c r="P9" s="138"/>
      <c r="Q9" s="179"/>
      <c r="R9" s="138"/>
      <c r="S9" s="179"/>
      <c r="T9" s="138"/>
      <c r="U9" s="179"/>
      <c r="V9" s="138"/>
      <c r="W9" s="179"/>
      <c r="X9" s="138"/>
      <c r="Y9" s="179"/>
      <c r="Z9" s="138"/>
      <c r="AA9" s="179"/>
      <c r="AB9" s="154"/>
      <c r="AC9" s="179"/>
      <c r="AD9" s="138"/>
      <c r="AE9" s="179"/>
      <c r="AF9" s="138"/>
      <c r="AG9" s="179"/>
      <c r="AH9" s="138"/>
      <c r="AI9" s="179"/>
      <c r="AJ9" s="138"/>
      <c r="AK9" s="179"/>
      <c r="AL9" s="138"/>
      <c r="AM9" s="179"/>
      <c r="AO9" s="435"/>
      <c r="AP9" s="60">
        <v>2</v>
      </c>
      <c r="AQ9" s="314" t="s">
        <v>492</v>
      </c>
      <c r="AR9" s="473" t="s">
        <v>641</v>
      </c>
      <c r="AS9" s="142" t="str">
        <f t="shared" si="0"/>
        <v>N/A</v>
      </c>
      <c r="AT9" s="192"/>
      <c r="AU9" s="312" t="s">
        <v>644</v>
      </c>
      <c r="AV9" s="192"/>
      <c r="AW9" s="325" t="str">
        <f t="shared" si="1"/>
        <v>N/A</v>
      </c>
      <c r="AX9" s="192"/>
      <c r="AY9" s="325" t="str">
        <f t="shared" si="2"/>
        <v>N/A</v>
      </c>
      <c r="AZ9" s="192"/>
      <c r="BA9" s="325" t="str">
        <f t="shared" si="3"/>
        <v>N/A</v>
      </c>
      <c r="BB9" s="192"/>
      <c r="BC9" s="325" t="str">
        <f t="shared" si="4"/>
        <v>N/A</v>
      </c>
      <c r="BD9" s="192"/>
      <c r="BE9" s="325" t="str">
        <f t="shared" si="5"/>
        <v>N/A</v>
      </c>
      <c r="BF9" s="192"/>
      <c r="BG9" s="325" t="str">
        <f t="shared" si="6"/>
        <v>N/A</v>
      </c>
      <c r="BH9" s="192"/>
      <c r="BI9" s="325" t="str">
        <f t="shared" si="7"/>
        <v>N/A</v>
      </c>
      <c r="BJ9" s="192"/>
      <c r="BK9" s="325" t="str">
        <f t="shared" si="8"/>
        <v>N/A</v>
      </c>
      <c r="BL9" s="192"/>
      <c r="BM9" s="325" t="str">
        <f t="shared" si="9"/>
        <v>N/A</v>
      </c>
      <c r="BN9" s="192"/>
      <c r="BO9" s="325" t="str">
        <f t="shared" si="10"/>
        <v>N/A</v>
      </c>
      <c r="BP9" s="192"/>
      <c r="BQ9" s="325" t="str">
        <f t="shared" si="11"/>
        <v>N/A</v>
      </c>
      <c r="BR9" s="192"/>
      <c r="BS9" s="325" t="str">
        <f t="shared" si="12"/>
        <v>N/A</v>
      </c>
      <c r="BT9" s="192"/>
      <c r="BU9" s="325" t="str">
        <f t="shared" si="13"/>
        <v>N/A</v>
      </c>
      <c r="BV9" s="192"/>
      <c r="BW9" s="325" t="str">
        <f t="shared" si="14"/>
        <v>N/A</v>
      </c>
      <c r="BX9" s="192"/>
      <c r="BY9" s="325" t="str">
        <f t="shared" si="15"/>
        <v>N/A</v>
      </c>
      <c r="BZ9" s="192"/>
      <c r="CB9" s="464">
        <v>12</v>
      </c>
      <c r="CC9" s="465" t="s">
        <v>184</v>
      </c>
      <c r="CD9" s="464">
        <v>211498.515625</v>
      </c>
      <c r="CE9" s="464">
        <v>13900</v>
      </c>
      <c r="CF9" s="464">
        <v>420</v>
      </c>
      <c r="CG9" s="464">
        <v>14320</v>
      </c>
    </row>
    <row r="10" spans="1:85" s="55" customFormat="1" ht="22.5" customHeight="1">
      <c r="A10" s="439" t="s">
        <v>626</v>
      </c>
      <c r="B10" s="425">
        <v>5</v>
      </c>
      <c r="C10" s="62">
        <v>3</v>
      </c>
      <c r="D10" s="106" t="s">
        <v>41</v>
      </c>
      <c r="E10" s="62" t="s">
        <v>40</v>
      </c>
      <c r="F10" s="138"/>
      <c r="G10" s="179"/>
      <c r="H10" s="154"/>
      <c r="I10" s="179"/>
      <c r="J10" s="154"/>
      <c r="K10" s="179"/>
      <c r="L10" s="154"/>
      <c r="M10" s="179"/>
      <c r="N10" s="154"/>
      <c r="O10" s="179"/>
      <c r="P10" s="138"/>
      <c r="Q10" s="179"/>
      <c r="R10" s="138"/>
      <c r="S10" s="179"/>
      <c r="T10" s="138"/>
      <c r="U10" s="179"/>
      <c r="V10" s="138"/>
      <c r="W10" s="179"/>
      <c r="X10" s="138"/>
      <c r="Y10" s="179"/>
      <c r="Z10" s="138"/>
      <c r="AA10" s="179"/>
      <c r="AB10" s="154"/>
      <c r="AC10" s="179"/>
      <c r="AD10" s="138"/>
      <c r="AE10" s="179"/>
      <c r="AF10" s="138"/>
      <c r="AG10" s="179"/>
      <c r="AH10" s="138"/>
      <c r="AI10" s="179"/>
      <c r="AJ10" s="138"/>
      <c r="AK10" s="179"/>
      <c r="AL10" s="138"/>
      <c r="AM10" s="179"/>
      <c r="AO10" s="436"/>
      <c r="AP10" s="310">
        <v>3</v>
      </c>
      <c r="AQ10" s="314" t="s">
        <v>544</v>
      </c>
      <c r="AR10" s="60" t="s">
        <v>641</v>
      </c>
      <c r="AS10" s="142" t="str">
        <f t="shared" si="0"/>
        <v>N/A</v>
      </c>
      <c r="AT10" s="192"/>
      <c r="AU10" s="312" t="s">
        <v>644</v>
      </c>
      <c r="AV10" s="192"/>
      <c r="AW10" s="325" t="str">
        <f t="shared" si="1"/>
        <v>N/A</v>
      </c>
      <c r="AX10" s="192"/>
      <c r="AY10" s="325" t="str">
        <f t="shared" si="2"/>
        <v>N/A</v>
      </c>
      <c r="AZ10" s="192"/>
      <c r="BA10" s="325" t="str">
        <f t="shared" si="3"/>
        <v>N/A</v>
      </c>
      <c r="BB10" s="192"/>
      <c r="BC10" s="325" t="str">
        <f t="shared" si="4"/>
        <v>N/A</v>
      </c>
      <c r="BD10" s="192"/>
      <c r="BE10" s="325" t="str">
        <f t="shared" si="5"/>
        <v>N/A</v>
      </c>
      <c r="BF10" s="192"/>
      <c r="BG10" s="325" t="str">
        <f t="shared" si="6"/>
        <v>N/A</v>
      </c>
      <c r="BH10" s="192"/>
      <c r="BI10" s="325" t="str">
        <f t="shared" si="7"/>
        <v>N/A</v>
      </c>
      <c r="BJ10" s="192"/>
      <c r="BK10" s="325" t="str">
        <f t="shared" si="8"/>
        <v>N/A</v>
      </c>
      <c r="BL10" s="192"/>
      <c r="BM10" s="325" t="str">
        <f t="shared" si="9"/>
        <v>N/A</v>
      </c>
      <c r="BN10" s="192"/>
      <c r="BO10" s="325" t="str">
        <f t="shared" si="10"/>
        <v>N/A</v>
      </c>
      <c r="BP10" s="192"/>
      <c r="BQ10" s="325" t="str">
        <f t="shared" si="11"/>
        <v>N/A</v>
      </c>
      <c r="BR10" s="192"/>
      <c r="BS10" s="325" t="str">
        <f t="shared" si="12"/>
        <v>N/A</v>
      </c>
      <c r="BT10" s="192"/>
      <c r="BU10" s="325" t="str">
        <f t="shared" si="13"/>
        <v>N/A</v>
      </c>
      <c r="BV10" s="192"/>
      <c r="BW10" s="325" t="str">
        <f t="shared" si="14"/>
        <v>N/A</v>
      </c>
      <c r="BX10" s="192"/>
      <c r="BY10" s="325" t="str">
        <f t="shared" si="15"/>
        <v>N/A</v>
      </c>
      <c r="BZ10" s="192"/>
      <c r="CB10" s="464">
        <v>24</v>
      </c>
      <c r="CC10" s="465" t="s">
        <v>185</v>
      </c>
      <c r="CD10" s="464">
        <v>1258793</v>
      </c>
      <c r="CE10" s="464">
        <v>184000</v>
      </c>
      <c r="CF10" s="464">
        <v>0</v>
      </c>
      <c r="CG10" s="464">
        <v>184000</v>
      </c>
    </row>
    <row r="11" spans="1:85" s="15" customFormat="1" ht="29.25" customHeight="1">
      <c r="A11" s="438"/>
      <c r="B11" s="425">
        <v>8</v>
      </c>
      <c r="C11" s="25">
        <v>4</v>
      </c>
      <c r="D11" s="95" t="s">
        <v>42</v>
      </c>
      <c r="E11" s="62" t="s">
        <v>40</v>
      </c>
      <c r="F11" s="138"/>
      <c r="G11" s="179"/>
      <c r="H11" s="154"/>
      <c r="I11" s="179"/>
      <c r="J11" s="154"/>
      <c r="K11" s="179"/>
      <c r="L11" s="154"/>
      <c r="M11" s="179"/>
      <c r="N11" s="154"/>
      <c r="O11" s="179"/>
      <c r="P11" s="138"/>
      <c r="Q11" s="179"/>
      <c r="R11" s="138"/>
      <c r="S11" s="179"/>
      <c r="T11" s="138"/>
      <c r="U11" s="179"/>
      <c r="V11" s="138"/>
      <c r="W11" s="179"/>
      <c r="X11" s="138"/>
      <c r="Y11" s="179"/>
      <c r="Z11" s="138"/>
      <c r="AA11" s="179"/>
      <c r="AB11" s="154"/>
      <c r="AC11" s="179"/>
      <c r="AD11" s="138"/>
      <c r="AE11" s="179"/>
      <c r="AF11" s="138"/>
      <c r="AG11" s="179"/>
      <c r="AH11" s="138"/>
      <c r="AI11" s="179"/>
      <c r="AJ11" s="138"/>
      <c r="AK11" s="179"/>
      <c r="AL11" s="138"/>
      <c r="AM11" s="179"/>
      <c r="AO11" s="435"/>
      <c r="AP11" s="60">
        <v>4</v>
      </c>
      <c r="AQ11" s="314" t="s">
        <v>547</v>
      </c>
      <c r="AR11" s="473" t="s">
        <v>641</v>
      </c>
      <c r="AS11" s="142" t="str">
        <f t="shared" si="0"/>
        <v>N/A</v>
      </c>
      <c r="AT11" s="192"/>
      <c r="AU11" s="312" t="s">
        <v>644</v>
      </c>
      <c r="AV11" s="192"/>
      <c r="AW11" s="325" t="str">
        <f t="shared" si="1"/>
        <v>N/A</v>
      </c>
      <c r="AX11" s="192"/>
      <c r="AY11" s="325" t="str">
        <f t="shared" si="2"/>
        <v>N/A</v>
      </c>
      <c r="AZ11" s="192"/>
      <c r="BA11" s="325" t="str">
        <f t="shared" si="3"/>
        <v>N/A</v>
      </c>
      <c r="BB11" s="192"/>
      <c r="BC11" s="325" t="str">
        <f t="shared" si="4"/>
        <v>N/A</v>
      </c>
      <c r="BD11" s="192"/>
      <c r="BE11" s="325" t="str">
        <f t="shared" si="5"/>
        <v>N/A</v>
      </c>
      <c r="BF11" s="192"/>
      <c r="BG11" s="325" t="str">
        <f t="shared" si="6"/>
        <v>N/A</v>
      </c>
      <c r="BH11" s="192"/>
      <c r="BI11" s="325" t="str">
        <f t="shared" si="7"/>
        <v>N/A</v>
      </c>
      <c r="BJ11" s="192"/>
      <c r="BK11" s="325" t="str">
        <f t="shared" si="8"/>
        <v>N/A</v>
      </c>
      <c r="BL11" s="192"/>
      <c r="BM11" s="325" t="str">
        <f t="shared" si="9"/>
        <v>N/A</v>
      </c>
      <c r="BN11" s="192"/>
      <c r="BO11" s="325" t="str">
        <f t="shared" si="10"/>
        <v>N/A</v>
      </c>
      <c r="BP11" s="192"/>
      <c r="BQ11" s="325" t="str">
        <f t="shared" si="11"/>
        <v>N/A</v>
      </c>
      <c r="BR11" s="192"/>
      <c r="BS11" s="325" t="str">
        <f t="shared" si="12"/>
        <v>N/A</v>
      </c>
      <c r="BT11" s="192"/>
      <c r="BU11" s="325" t="str">
        <f t="shared" si="13"/>
        <v>N/A</v>
      </c>
      <c r="BV11" s="192"/>
      <c r="BW11" s="325" t="str">
        <f t="shared" si="14"/>
        <v>N/A</v>
      </c>
      <c r="BX11" s="192"/>
      <c r="BY11" s="325" t="str">
        <f t="shared" si="15"/>
        <v>N/A</v>
      </c>
      <c r="BZ11" s="192"/>
      <c r="CB11" s="464">
        <v>28</v>
      </c>
      <c r="CC11" s="465" t="s">
        <v>186</v>
      </c>
      <c r="CD11" s="464">
        <v>500</v>
      </c>
      <c r="CE11" s="464">
        <v>52</v>
      </c>
      <c r="CF11" s="464">
        <v>0</v>
      </c>
      <c r="CG11" s="464">
        <v>52</v>
      </c>
    </row>
    <row r="12" spans="1:85" s="56" customFormat="1" ht="31.5" customHeight="1">
      <c r="A12" s="439" t="s">
        <v>626</v>
      </c>
      <c r="B12" s="425">
        <v>124</v>
      </c>
      <c r="C12" s="62">
        <v>5</v>
      </c>
      <c r="D12" s="83" t="s">
        <v>43</v>
      </c>
      <c r="E12" s="62" t="s">
        <v>40</v>
      </c>
      <c r="F12" s="139"/>
      <c r="G12" s="180"/>
      <c r="H12" s="155"/>
      <c r="I12" s="180"/>
      <c r="J12" s="155"/>
      <c r="K12" s="180"/>
      <c r="L12" s="155"/>
      <c r="M12" s="180"/>
      <c r="N12" s="155"/>
      <c r="O12" s="180"/>
      <c r="P12" s="139"/>
      <c r="Q12" s="180"/>
      <c r="R12" s="139"/>
      <c r="S12" s="180"/>
      <c r="T12" s="139"/>
      <c r="U12" s="180"/>
      <c r="V12" s="139"/>
      <c r="W12" s="180"/>
      <c r="X12" s="139"/>
      <c r="Y12" s="180"/>
      <c r="Z12" s="139"/>
      <c r="AA12" s="180"/>
      <c r="AB12" s="155"/>
      <c r="AC12" s="180"/>
      <c r="AD12" s="139"/>
      <c r="AE12" s="180"/>
      <c r="AF12" s="139"/>
      <c r="AG12" s="180"/>
      <c r="AH12" s="139"/>
      <c r="AI12" s="180"/>
      <c r="AJ12" s="139"/>
      <c r="AK12" s="180"/>
      <c r="AL12" s="139"/>
      <c r="AM12" s="180"/>
      <c r="AO12" s="436"/>
      <c r="AP12" s="310">
        <v>5</v>
      </c>
      <c r="AQ12" s="314" t="s">
        <v>543</v>
      </c>
      <c r="AR12" s="473" t="s">
        <v>641</v>
      </c>
      <c r="AS12" s="142" t="str">
        <f t="shared" si="0"/>
        <v>N/A</v>
      </c>
      <c r="AT12" s="192"/>
      <c r="AU12" s="312" t="s">
        <v>644</v>
      </c>
      <c r="AV12" s="192"/>
      <c r="AW12" s="325" t="str">
        <f t="shared" si="1"/>
        <v>N/A</v>
      </c>
      <c r="AX12" s="192"/>
      <c r="AY12" s="325" t="str">
        <f t="shared" si="2"/>
        <v>N/A</v>
      </c>
      <c r="AZ12" s="192"/>
      <c r="BA12" s="325" t="str">
        <f t="shared" si="3"/>
        <v>N/A</v>
      </c>
      <c r="BB12" s="192"/>
      <c r="BC12" s="325" t="str">
        <f t="shared" si="4"/>
        <v>N/A</v>
      </c>
      <c r="BD12" s="192"/>
      <c r="BE12" s="325" t="str">
        <f t="shared" si="5"/>
        <v>N/A</v>
      </c>
      <c r="BF12" s="192"/>
      <c r="BG12" s="325" t="str">
        <f t="shared" si="6"/>
        <v>N/A</v>
      </c>
      <c r="BH12" s="192"/>
      <c r="BI12" s="325" t="str">
        <f t="shared" si="7"/>
        <v>N/A</v>
      </c>
      <c r="BJ12" s="192"/>
      <c r="BK12" s="325" t="str">
        <f t="shared" si="8"/>
        <v>N/A</v>
      </c>
      <c r="BL12" s="192"/>
      <c r="BM12" s="325" t="str">
        <f t="shared" si="9"/>
        <v>N/A</v>
      </c>
      <c r="BN12" s="192"/>
      <c r="BO12" s="325" t="str">
        <f t="shared" si="10"/>
        <v>N/A</v>
      </c>
      <c r="BP12" s="192"/>
      <c r="BQ12" s="325" t="str">
        <f t="shared" si="11"/>
        <v>N/A</v>
      </c>
      <c r="BR12" s="192"/>
      <c r="BS12" s="325" t="str">
        <f t="shared" si="12"/>
        <v>N/A</v>
      </c>
      <c r="BT12" s="192"/>
      <c r="BU12" s="325" t="str">
        <f t="shared" si="13"/>
        <v>N/A</v>
      </c>
      <c r="BV12" s="192"/>
      <c r="BW12" s="325" t="str">
        <f t="shared" si="14"/>
        <v>N/A</v>
      </c>
      <c r="BX12" s="192"/>
      <c r="BY12" s="325" t="str">
        <f t="shared" si="15"/>
        <v>N/A</v>
      </c>
      <c r="BZ12" s="192"/>
      <c r="CB12" s="464">
        <v>32</v>
      </c>
      <c r="CC12" s="465" t="s">
        <v>187</v>
      </c>
      <c r="CD12" s="464">
        <v>1642104.25</v>
      </c>
      <c r="CE12" s="464">
        <v>276000</v>
      </c>
      <c r="CF12" s="464">
        <v>538000</v>
      </c>
      <c r="CG12" s="464">
        <v>814000</v>
      </c>
    </row>
    <row r="13" spans="1:85" s="15" customFormat="1" ht="32.25" customHeight="1">
      <c r="A13" s="438"/>
      <c r="B13" s="425">
        <v>13</v>
      </c>
      <c r="C13" s="61">
        <v>6</v>
      </c>
      <c r="D13" s="65" t="s">
        <v>44</v>
      </c>
      <c r="E13" s="591" t="s">
        <v>40</v>
      </c>
      <c r="F13" s="140"/>
      <c r="G13" s="181"/>
      <c r="H13" s="145"/>
      <c r="I13" s="181"/>
      <c r="J13" s="145"/>
      <c r="K13" s="181"/>
      <c r="L13" s="145"/>
      <c r="M13" s="181"/>
      <c r="N13" s="145"/>
      <c r="O13" s="181"/>
      <c r="P13" s="140"/>
      <c r="Q13" s="181"/>
      <c r="R13" s="140"/>
      <c r="S13" s="181"/>
      <c r="T13" s="140"/>
      <c r="U13" s="181"/>
      <c r="V13" s="140"/>
      <c r="W13" s="181"/>
      <c r="X13" s="140"/>
      <c r="Y13" s="181"/>
      <c r="Z13" s="140"/>
      <c r="AA13" s="181"/>
      <c r="AB13" s="145"/>
      <c r="AC13" s="181"/>
      <c r="AD13" s="140"/>
      <c r="AE13" s="181"/>
      <c r="AF13" s="140"/>
      <c r="AG13" s="181"/>
      <c r="AH13" s="140"/>
      <c r="AI13" s="181"/>
      <c r="AJ13" s="140"/>
      <c r="AK13" s="181"/>
      <c r="AL13" s="140"/>
      <c r="AM13" s="181"/>
      <c r="AO13" s="435"/>
      <c r="AP13" s="316">
        <v>6</v>
      </c>
      <c r="AQ13" s="317" t="s">
        <v>548</v>
      </c>
      <c r="AR13" s="474" t="s">
        <v>641</v>
      </c>
      <c r="AS13" s="318" t="str">
        <f t="shared" si="0"/>
        <v>N/A</v>
      </c>
      <c r="AT13" s="319"/>
      <c r="AU13" s="318" t="s">
        <v>644</v>
      </c>
      <c r="AV13" s="319"/>
      <c r="AW13" s="326" t="str">
        <f t="shared" si="1"/>
        <v>N/A</v>
      </c>
      <c r="AX13" s="319"/>
      <c r="AY13" s="326" t="str">
        <f t="shared" si="2"/>
        <v>N/A</v>
      </c>
      <c r="AZ13" s="319"/>
      <c r="BA13" s="326" t="str">
        <f t="shared" si="3"/>
        <v>N/A</v>
      </c>
      <c r="BB13" s="319"/>
      <c r="BC13" s="326" t="str">
        <f t="shared" si="4"/>
        <v>N/A</v>
      </c>
      <c r="BD13" s="319"/>
      <c r="BE13" s="326" t="str">
        <f t="shared" si="5"/>
        <v>N/A</v>
      </c>
      <c r="BF13" s="319"/>
      <c r="BG13" s="326" t="str">
        <f t="shared" si="6"/>
        <v>N/A</v>
      </c>
      <c r="BH13" s="319"/>
      <c r="BI13" s="326" t="str">
        <f t="shared" si="7"/>
        <v>N/A</v>
      </c>
      <c r="BJ13" s="319"/>
      <c r="BK13" s="326" t="str">
        <f t="shared" si="8"/>
        <v>N/A</v>
      </c>
      <c r="BL13" s="319"/>
      <c r="BM13" s="326" t="str">
        <f t="shared" si="9"/>
        <v>N/A</v>
      </c>
      <c r="BN13" s="319"/>
      <c r="BO13" s="326" t="str">
        <f t="shared" si="10"/>
        <v>N/A</v>
      </c>
      <c r="BP13" s="319"/>
      <c r="BQ13" s="326" t="str">
        <f t="shared" si="11"/>
        <v>N/A</v>
      </c>
      <c r="BR13" s="319"/>
      <c r="BS13" s="326" t="str">
        <f t="shared" si="12"/>
        <v>N/A</v>
      </c>
      <c r="BT13" s="319"/>
      <c r="BU13" s="326" t="str">
        <f t="shared" si="13"/>
        <v>N/A</v>
      </c>
      <c r="BV13" s="319"/>
      <c r="BW13" s="326" t="str">
        <f t="shared" si="14"/>
        <v>N/A</v>
      </c>
      <c r="BX13" s="319"/>
      <c r="BY13" s="326" t="str">
        <f t="shared" si="15"/>
        <v>N/A</v>
      </c>
      <c r="BZ13" s="319"/>
      <c r="CB13" s="464">
        <v>51</v>
      </c>
      <c r="CC13" s="465" t="s">
        <v>188</v>
      </c>
      <c r="CD13" s="464">
        <v>16753.560546875</v>
      </c>
      <c r="CE13" s="464">
        <v>9071</v>
      </c>
      <c r="CF13" s="464">
        <v>1458</v>
      </c>
      <c r="CG13" s="464">
        <v>10529</v>
      </c>
    </row>
    <row r="14" spans="37:85" ht="9" customHeight="1">
      <c r="AK14" s="2"/>
      <c r="CB14" s="464">
        <v>36</v>
      </c>
      <c r="CC14" s="465" t="s">
        <v>189</v>
      </c>
      <c r="CD14" s="464">
        <v>4136908</v>
      </c>
      <c r="CE14" s="464">
        <v>492000</v>
      </c>
      <c r="CF14" s="464">
        <v>0</v>
      </c>
      <c r="CG14" s="464">
        <v>492000</v>
      </c>
    </row>
    <row r="15" spans="3:85" ht="25.5" customHeight="1">
      <c r="C15" s="3" t="s">
        <v>45</v>
      </c>
      <c r="D15" s="52"/>
      <c r="E15" s="20"/>
      <c r="F15" s="3"/>
      <c r="AK15" s="2"/>
      <c r="AP15" s="664" t="s">
        <v>56</v>
      </c>
      <c r="AQ15" s="664"/>
      <c r="AR15" s="664"/>
      <c r="AS15" s="664"/>
      <c r="AT15" s="664"/>
      <c r="AU15" s="664"/>
      <c r="AV15" s="664"/>
      <c r="AW15" s="664"/>
      <c r="AX15" s="664"/>
      <c r="AY15" s="664"/>
      <c r="AZ15" s="664"/>
      <c r="BA15" s="664"/>
      <c r="BB15" s="664"/>
      <c r="BC15" s="664"/>
      <c r="BD15" s="664"/>
      <c r="BE15" s="664"/>
      <c r="BF15" s="664"/>
      <c r="BG15" s="664"/>
      <c r="BH15" s="664"/>
      <c r="BI15" s="664"/>
      <c r="BJ15" s="664"/>
      <c r="BK15" s="664"/>
      <c r="BL15" s="664"/>
      <c r="BM15" s="664"/>
      <c r="BN15" s="664"/>
      <c r="BO15" s="664"/>
      <c r="BP15" s="664"/>
      <c r="BQ15" s="664"/>
      <c r="BR15" s="664"/>
      <c r="BS15" s="664"/>
      <c r="BT15" s="664"/>
      <c r="BU15" s="664"/>
      <c r="BV15" s="664"/>
      <c r="BW15" s="664"/>
      <c r="BX15" s="664"/>
      <c r="BY15" s="664"/>
      <c r="BZ15" s="664"/>
      <c r="CB15" s="464">
        <v>40</v>
      </c>
      <c r="CC15" s="465" t="s">
        <v>190</v>
      </c>
      <c r="CD15" s="464">
        <v>93076.2109375</v>
      </c>
      <c r="CE15" s="464">
        <v>55000</v>
      </c>
      <c r="CF15" s="464">
        <v>22700</v>
      </c>
      <c r="CG15" s="464">
        <v>77700</v>
      </c>
    </row>
    <row r="16" spans="3:85" ht="15" customHeight="1">
      <c r="C16" s="266" t="s">
        <v>667</v>
      </c>
      <c r="D16" s="685" t="s">
        <v>46</v>
      </c>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5"/>
      <c r="AJ16" s="685"/>
      <c r="AK16" s="685"/>
      <c r="AL16" s="685"/>
      <c r="AM16" s="685"/>
      <c r="AN16" s="685"/>
      <c r="AP16" s="64" t="s">
        <v>157</v>
      </c>
      <c r="AQ16" s="64" t="s">
        <v>164</v>
      </c>
      <c r="AR16" s="63" t="s">
        <v>166</v>
      </c>
      <c r="AS16" s="135" t="s">
        <v>174</v>
      </c>
      <c r="AT16" s="199"/>
      <c r="AU16" s="136">
        <v>1990</v>
      </c>
      <c r="AV16" s="199"/>
      <c r="AW16" s="136">
        <v>1995</v>
      </c>
      <c r="AX16" s="199"/>
      <c r="AY16" s="136">
        <v>1996</v>
      </c>
      <c r="AZ16" s="199"/>
      <c r="BA16" s="136">
        <v>1997</v>
      </c>
      <c r="BB16" s="199"/>
      <c r="BC16" s="136">
        <v>1998</v>
      </c>
      <c r="BD16" s="199"/>
      <c r="BE16" s="136">
        <v>1999</v>
      </c>
      <c r="BF16" s="199"/>
      <c r="BG16" s="136">
        <v>2000</v>
      </c>
      <c r="BH16" s="199"/>
      <c r="BI16" s="136">
        <v>2001</v>
      </c>
      <c r="BJ16" s="199"/>
      <c r="BK16" s="136">
        <v>2002</v>
      </c>
      <c r="BL16" s="199"/>
      <c r="BM16" s="136">
        <v>2003</v>
      </c>
      <c r="BN16" s="199"/>
      <c r="BO16" s="136">
        <v>2004</v>
      </c>
      <c r="BP16" s="199"/>
      <c r="BQ16" s="136">
        <v>2005</v>
      </c>
      <c r="BR16" s="199"/>
      <c r="BS16" s="136">
        <v>2006</v>
      </c>
      <c r="BT16" s="199"/>
      <c r="BU16" s="136">
        <v>2007</v>
      </c>
      <c r="BV16" s="199"/>
      <c r="BW16" s="136">
        <v>2008</v>
      </c>
      <c r="BX16" s="199"/>
      <c r="BY16" s="136">
        <v>2009</v>
      </c>
      <c r="BZ16" s="199"/>
      <c r="CB16" s="464">
        <v>31</v>
      </c>
      <c r="CC16" s="465" t="s">
        <v>191</v>
      </c>
      <c r="CD16" s="464">
        <v>38701.5390625</v>
      </c>
      <c r="CE16" s="464">
        <v>8115</v>
      </c>
      <c r="CF16" s="464">
        <v>22160</v>
      </c>
      <c r="CG16" s="464">
        <v>30275</v>
      </c>
    </row>
    <row r="17" spans="3:88" ht="19.5" customHeight="1">
      <c r="C17" s="266" t="s">
        <v>667</v>
      </c>
      <c r="D17" s="669" t="s">
        <v>370</v>
      </c>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69"/>
      <c r="AP17" s="310">
        <v>3</v>
      </c>
      <c r="AQ17" s="314" t="s">
        <v>544</v>
      </c>
      <c r="AR17" s="60" t="s">
        <v>169</v>
      </c>
      <c r="AS17" s="328">
        <f>F10</f>
        <v>0</v>
      </c>
      <c r="AT17" s="328"/>
      <c r="AU17" s="328">
        <f aca="true" t="shared" si="16" ref="AU17:BY17">H10</f>
        <v>0</v>
      </c>
      <c r="AV17" s="328"/>
      <c r="AW17" s="328">
        <f t="shared" si="16"/>
        <v>0</v>
      </c>
      <c r="AX17" s="328"/>
      <c r="AY17" s="328">
        <f t="shared" si="16"/>
        <v>0</v>
      </c>
      <c r="AZ17" s="328"/>
      <c r="BA17" s="328">
        <f t="shared" si="16"/>
        <v>0</v>
      </c>
      <c r="BB17" s="328"/>
      <c r="BC17" s="328">
        <f t="shared" si="16"/>
        <v>0</v>
      </c>
      <c r="BD17" s="328"/>
      <c r="BE17" s="328">
        <f t="shared" si="16"/>
        <v>0</v>
      </c>
      <c r="BF17" s="328"/>
      <c r="BG17" s="328">
        <f t="shared" si="16"/>
        <v>0</v>
      </c>
      <c r="BH17" s="328"/>
      <c r="BI17" s="328">
        <f t="shared" si="16"/>
        <v>0</v>
      </c>
      <c r="BJ17" s="328"/>
      <c r="BK17" s="328">
        <f t="shared" si="16"/>
        <v>0</v>
      </c>
      <c r="BL17" s="328"/>
      <c r="BM17" s="328">
        <f t="shared" si="16"/>
        <v>0</v>
      </c>
      <c r="BN17" s="328"/>
      <c r="BO17" s="328">
        <f t="shared" si="16"/>
        <v>0</v>
      </c>
      <c r="BP17" s="328"/>
      <c r="BQ17" s="328">
        <f t="shared" si="16"/>
        <v>0</v>
      </c>
      <c r="BR17" s="328"/>
      <c r="BS17" s="328">
        <f t="shared" si="16"/>
        <v>0</v>
      </c>
      <c r="BT17" s="328"/>
      <c r="BU17" s="328">
        <f t="shared" si="16"/>
        <v>0</v>
      </c>
      <c r="BV17" s="328"/>
      <c r="BW17" s="328">
        <f t="shared" si="16"/>
        <v>0</v>
      </c>
      <c r="BX17" s="328"/>
      <c r="BY17" s="328">
        <f t="shared" si="16"/>
        <v>0</v>
      </c>
      <c r="BZ17" s="192"/>
      <c r="CA17" s="14"/>
      <c r="CB17" s="464">
        <v>44</v>
      </c>
      <c r="CC17" s="465" t="s">
        <v>192</v>
      </c>
      <c r="CD17" s="464">
        <v>17934.349609375</v>
      </c>
      <c r="CE17" s="464">
        <v>20</v>
      </c>
      <c r="CF17" s="464">
        <v>0</v>
      </c>
      <c r="CG17" s="464">
        <v>20</v>
      </c>
      <c r="CH17" s="14"/>
      <c r="CI17" s="14"/>
      <c r="CJ17" s="14"/>
    </row>
    <row r="18" spans="1:88" ht="25.5" customHeight="1">
      <c r="A18" s="400"/>
      <c r="B18" s="400"/>
      <c r="C18" s="266" t="s">
        <v>667</v>
      </c>
      <c r="D18" s="669" t="s">
        <v>47</v>
      </c>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373"/>
      <c r="AP18" s="466">
        <v>7</v>
      </c>
      <c r="AQ18" s="467" t="s">
        <v>569</v>
      </c>
      <c r="AR18" s="60" t="s">
        <v>169</v>
      </c>
      <c r="AS18" s="328">
        <f>(F8-F9)</f>
        <v>0</v>
      </c>
      <c r="AT18" s="328"/>
      <c r="AU18" s="328">
        <f aca="true" t="shared" si="17" ref="AU18:BY18">(H8-H9)</f>
        <v>0</v>
      </c>
      <c r="AV18" s="328"/>
      <c r="AW18" s="328">
        <f t="shared" si="17"/>
        <v>0</v>
      </c>
      <c r="AX18" s="328"/>
      <c r="AY18" s="328">
        <f t="shared" si="17"/>
        <v>0</v>
      </c>
      <c r="AZ18" s="328"/>
      <c r="BA18" s="328">
        <f t="shared" si="17"/>
        <v>0</v>
      </c>
      <c r="BB18" s="328"/>
      <c r="BC18" s="328">
        <f t="shared" si="17"/>
        <v>0</v>
      </c>
      <c r="BD18" s="328"/>
      <c r="BE18" s="328">
        <f t="shared" si="17"/>
        <v>0</v>
      </c>
      <c r="BF18" s="328"/>
      <c r="BG18" s="328">
        <f t="shared" si="17"/>
        <v>0</v>
      </c>
      <c r="BH18" s="328"/>
      <c r="BI18" s="328">
        <f t="shared" si="17"/>
        <v>0</v>
      </c>
      <c r="BJ18" s="328"/>
      <c r="BK18" s="328">
        <f t="shared" si="17"/>
        <v>0</v>
      </c>
      <c r="BL18" s="328"/>
      <c r="BM18" s="328">
        <f t="shared" si="17"/>
        <v>0</v>
      </c>
      <c r="BN18" s="328"/>
      <c r="BO18" s="328">
        <f t="shared" si="17"/>
        <v>0</v>
      </c>
      <c r="BP18" s="328"/>
      <c r="BQ18" s="328">
        <f t="shared" si="17"/>
        <v>0</v>
      </c>
      <c r="BR18" s="328"/>
      <c r="BS18" s="328">
        <f t="shared" si="17"/>
        <v>0</v>
      </c>
      <c r="BT18" s="328"/>
      <c r="BU18" s="328">
        <f t="shared" si="17"/>
        <v>0</v>
      </c>
      <c r="BV18" s="328"/>
      <c r="BW18" s="328">
        <f t="shared" si="17"/>
        <v>0</v>
      </c>
      <c r="BX18" s="328"/>
      <c r="BY18" s="328">
        <f t="shared" si="17"/>
        <v>0</v>
      </c>
      <c r="BZ18" s="192"/>
      <c r="CA18" s="14"/>
      <c r="CB18" s="464">
        <v>48</v>
      </c>
      <c r="CC18" s="465" t="s">
        <v>193</v>
      </c>
      <c r="CD18" s="464">
        <v>58.650001525878906</v>
      </c>
      <c r="CE18" s="464">
        <v>4</v>
      </c>
      <c r="CF18" s="464">
        <v>112</v>
      </c>
      <c r="CG18" s="464">
        <v>116</v>
      </c>
      <c r="CH18" s="14"/>
      <c r="CI18" s="14"/>
      <c r="CJ18" s="14"/>
    </row>
    <row r="19" spans="1:88" ht="22.5" customHeight="1">
      <c r="A19" s="400"/>
      <c r="B19" s="400"/>
      <c r="C19" s="266" t="s">
        <v>667</v>
      </c>
      <c r="D19" s="669" t="s">
        <v>48</v>
      </c>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413"/>
      <c r="AP19" s="468" t="s">
        <v>677</v>
      </c>
      <c r="AQ19" s="467" t="s">
        <v>570</v>
      </c>
      <c r="AR19" s="60"/>
      <c r="AS19" s="328" t="str">
        <f>IF(OR(ISBLANK(F8),ISBLANK(F9),ISBLANK(F10)),"N/A",IF((ROUND(AS17,0)=ROUND(AS18,0)),"ok","&lt;&gt;"))</f>
        <v>N/A</v>
      </c>
      <c r="AT19" s="328"/>
      <c r="AU19" s="328" t="str">
        <f>IF(OR(ISBLANK(H8),ISBLANK(H9),ISBLANK(H10)),"N/A",IF((ROUND(AU17,0)=ROUND(AU18,0)),"ok","&lt;&gt;"))</f>
        <v>N/A</v>
      </c>
      <c r="AV19" s="328"/>
      <c r="AW19" s="328" t="str">
        <f>IF(OR(ISBLANK(J8),ISBLANK(J9),ISBLANK(J10)),"N/A",IF((ROUND(AW17,0)=ROUND(AW18,0)),"ok","&lt;&gt;"))</f>
        <v>N/A</v>
      </c>
      <c r="AX19" s="328"/>
      <c r="AY19" s="328" t="str">
        <f>IF(OR(ISBLANK(L8),ISBLANK(L9),ISBLANK(L10)),"N/A",IF((ROUND(AY17,0)=ROUND(AY18,0)),"ok","&lt;&gt;"))</f>
        <v>N/A</v>
      </c>
      <c r="AZ19" s="328"/>
      <c r="BA19" s="328" t="str">
        <f>IF(OR(ISBLANK(N8),ISBLANK(N9),ISBLANK(N10)),"N/A",IF((ROUND(BA17,0)=ROUND(BA18,0)),"ok","&lt;&gt;"))</f>
        <v>N/A</v>
      </c>
      <c r="BB19" s="328"/>
      <c r="BC19" s="328" t="str">
        <f>IF(OR(ISBLANK(P8),ISBLANK(P9),ISBLANK(P10)),"N/A",IF((ROUND(BC17,0)=ROUND(BC18,0)),"ok","&lt;&gt;"))</f>
        <v>N/A</v>
      </c>
      <c r="BD19" s="328"/>
      <c r="BE19" s="328" t="str">
        <f>IF(OR(ISBLANK(R8),ISBLANK(R9),ISBLANK(R10)),"N/A",IF((ROUND(BE17,0)=ROUND(BE18,0)),"ok","&lt;&gt;"))</f>
        <v>N/A</v>
      </c>
      <c r="BF19" s="328"/>
      <c r="BG19" s="328" t="str">
        <f>IF(OR(ISBLANK(T8),ISBLANK(T9),ISBLANK(T10)),"N/A",IF((ROUND(BG17,0)=ROUND(BG18,0)),"ok","&lt;&gt;"))</f>
        <v>N/A</v>
      </c>
      <c r="BH19" s="328"/>
      <c r="BI19" s="328" t="str">
        <f>IF(OR(ISBLANK(V8),ISBLANK(V9),ISBLANK(V10)),"N/A",IF((ROUND(BI17,0)=ROUND(BI18,0)),"ok","&lt;&gt;"))</f>
        <v>N/A</v>
      </c>
      <c r="BJ19" s="328"/>
      <c r="BK19" s="328" t="str">
        <f>IF(OR(ISBLANK(X8),ISBLANK(X9),ISBLANK(X10)),"N/A",IF((ROUND(BK17,0)=ROUND(BK18,0)),"ok","&lt;&gt;"))</f>
        <v>N/A</v>
      </c>
      <c r="BL19" s="328"/>
      <c r="BM19" s="328" t="str">
        <f>IF(OR(ISBLANK(Z8),ISBLANK(Z9),ISBLANK(Z10)),"N/A",IF((ROUND(BM17,0)=ROUND(BM18,0)),"ok","&lt;&gt;"))</f>
        <v>N/A</v>
      </c>
      <c r="BN19" s="328"/>
      <c r="BO19" s="328" t="str">
        <f>IF(OR(ISBLANK(AB8),ISBLANK(AB9),ISBLANK(AB10)),"N/A",IF((ROUND(BO17,0)=ROUND(BO18,0)),"ok","&lt;&gt;"))</f>
        <v>N/A</v>
      </c>
      <c r="BP19" s="328"/>
      <c r="BQ19" s="328" t="str">
        <f>IF(OR(ISBLANK(AD8),ISBLANK(AD9),ISBLANK(AD10)),"N/A",IF((ROUND(BQ17,0)=ROUND(BQ18,0)),"ok","&lt;&gt;"))</f>
        <v>N/A</v>
      </c>
      <c r="BR19" s="328"/>
      <c r="BS19" s="328" t="str">
        <f>IF(OR(ISBLANK(AF8),ISBLANK(AF9),ISBLANK(AF10)),"N/A",IF((ROUND(BS17,0)=ROUND(BS18,0)),"ok","&lt;&gt;"))</f>
        <v>N/A</v>
      </c>
      <c r="BT19" s="328"/>
      <c r="BU19" s="328" t="str">
        <f>IF(OR(ISBLANK(AH8),ISBLANK(AH9),ISBLANK(AH10)),"N/A",IF((ROUND(BU17,0)=ROUND(BU18,0)),"ok","&lt;&gt;"))</f>
        <v>N/A</v>
      </c>
      <c r="BV19" s="328"/>
      <c r="BW19" s="328" t="str">
        <f>IF(OR(ISBLANK(AJ8),ISBLANK(AJ9),ISBLANK(AJ10)),"N/A",IF((ROUND(BW17,0)=ROUND(BW18,0)),"ok","&lt;&gt;"))</f>
        <v>N/A</v>
      </c>
      <c r="BX19" s="328"/>
      <c r="BY19" s="328" t="str">
        <f>IF(OR(ISBLANK(AL8),ISBLANK(AL9),ISBLANK(AL10)),"N/A",IF((ROUND(BY17,0)=ROUND(BY18,0)),"ok","&lt;&gt;"))</f>
        <v>N/A</v>
      </c>
      <c r="BZ19" s="328"/>
      <c r="CA19" s="14"/>
      <c r="CB19" s="464">
        <v>50</v>
      </c>
      <c r="CC19" s="465" t="s">
        <v>194</v>
      </c>
      <c r="CD19" s="464">
        <v>383832</v>
      </c>
      <c r="CE19" s="464">
        <v>105000</v>
      </c>
      <c r="CF19" s="464">
        <v>1105644</v>
      </c>
      <c r="CG19" s="464">
        <v>1210644</v>
      </c>
      <c r="CH19" s="14"/>
      <c r="CI19" s="14"/>
      <c r="CJ19" s="14"/>
    </row>
    <row r="20" spans="1:88" ht="19.5" customHeight="1">
      <c r="A20" s="400"/>
      <c r="B20" s="400"/>
      <c r="C20" s="266" t="s">
        <v>667</v>
      </c>
      <c r="D20" s="669" t="s">
        <v>49</v>
      </c>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373"/>
      <c r="AP20" s="310">
        <v>5</v>
      </c>
      <c r="AQ20" s="315" t="s">
        <v>543</v>
      </c>
      <c r="AR20" s="60" t="s">
        <v>169</v>
      </c>
      <c r="AS20" s="328">
        <f>F12</f>
        <v>0</v>
      </c>
      <c r="AT20" s="328"/>
      <c r="AU20" s="328">
        <f aca="true" t="shared" si="18" ref="AU20:BY20">H12</f>
        <v>0</v>
      </c>
      <c r="AV20" s="328"/>
      <c r="AW20" s="328">
        <f t="shared" si="18"/>
        <v>0</v>
      </c>
      <c r="AX20" s="328"/>
      <c r="AY20" s="328">
        <f t="shared" si="18"/>
        <v>0</v>
      </c>
      <c r="AZ20" s="328"/>
      <c r="BA20" s="328">
        <f t="shared" si="18"/>
        <v>0</v>
      </c>
      <c r="BB20" s="328"/>
      <c r="BC20" s="328">
        <f t="shared" si="18"/>
        <v>0</v>
      </c>
      <c r="BD20" s="328"/>
      <c r="BE20" s="328">
        <f t="shared" si="18"/>
        <v>0</v>
      </c>
      <c r="BF20" s="328"/>
      <c r="BG20" s="328">
        <f t="shared" si="18"/>
        <v>0</v>
      </c>
      <c r="BH20" s="328"/>
      <c r="BI20" s="328">
        <f t="shared" si="18"/>
        <v>0</v>
      </c>
      <c r="BJ20" s="328"/>
      <c r="BK20" s="328">
        <f t="shared" si="18"/>
        <v>0</v>
      </c>
      <c r="BL20" s="328"/>
      <c r="BM20" s="328">
        <f t="shared" si="18"/>
        <v>0</v>
      </c>
      <c r="BN20" s="328"/>
      <c r="BO20" s="328">
        <f t="shared" si="18"/>
        <v>0</v>
      </c>
      <c r="BP20" s="328"/>
      <c r="BQ20" s="328">
        <f t="shared" si="18"/>
        <v>0</v>
      </c>
      <c r="BR20" s="328"/>
      <c r="BS20" s="328">
        <f t="shared" si="18"/>
        <v>0</v>
      </c>
      <c r="BT20" s="328"/>
      <c r="BU20" s="328">
        <f t="shared" si="18"/>
        <v>0</v>
      </c>
      <c r="BV20" s="328"/>
      <c r="BW20" s="328">
        <f t="shared" si="18"/>
        <v>0</v>
      </c>
      <c r="BX20" s="328"/>
      <c r="BY20" s="328">
        <f t="shared" si="18"/>
        <v>0</v>
      </c>
      <c r="BZ20" s="329"/>
      <c r="CA20" s="14"/>
      <c r="CB20" s="464">
        <v>52</v>
      </c>
      <c r="CC20" s="465" t="s">
        <v>195</v>
      </c>
      <c r="CD20" s="464">
        <v>600</v>
      </c>
      <c r="CE20" s="464">
        <v>80.30000305175781</v>
      </c>
      <c r="CF20" s="464">
        <v>0</v>
      </c>
      <c r="CG20" s="464">
        <v>80.30000305175781</v>
      </c>
      <c r="CH20" s="14"/>
      <c r="CI20" s="14"/>
      <c r="CJ20" s="14"/>
    </row>
    <row r="21" spans="1:88" ht="3.75" customHeight="1">
      <c r="A21" s="400"/>
      <c r="B21" s="400"/>
      <c r="C21" s="266"/>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373"/>
      <c r="AP21" s="310"/>
      <c r="AQ21" s="327"/>
      <c r="AR21" s="330"/>
      <c r="AS21" s="328"/>
      <c r="AT21" s="331"/>
      <c r="AU21" s="328"/>
      <c r="AV21" s="331"/>
      <c r="AW21" s="328"/>
      <c r="AX21" s="331"/>
      <c r="AY21" s="328"/>
      <c r="AZ21" s="331"/>
      <c r="BA21" s="328"/>
      <c r="BB21" s="331"/>
      <c r="BC21" s="328"/>
      <c r="BD21" s="331"/>
      <c r="BE21" s="328"/>
      <c r="BF21" s="331"/>
      <c r="BG21" s="328"/>
      <c r="BH21" s="331"/>
      <c r="BI21" s="328"/>
      <c r="BJ21" s="331"/>
      <c r="BK21" s="328"/>
      <c r="BL21" s="328"/>
      <c r="BM21" s="328"/>
      <c r="BN21" s="331"/>
      <c r="BO21" s="328"/>
      <c r="BP21" s="331"/>
      <c r="BQ21" s="328"/>
      <c r="BR21" s="331"/>
      <c r="BS21" s="328"/>
      <c r="BT21" s="331"/>
      <c r="BU21" s="332"/>
      <c r="BV21" s="332"/>
      <c r="BW21" s="332"/>
      <c r="BX21" s="332"/>
      <c r="BY21" s="332"/>
      <c r="BZ21" s="329"/>
      <c r="CA21" s="14"/>
      <c r="CB21" s="464">
        <v>112</v>
      </c>
      <c r="CC21" s="465" t="s">
        <v>196</v>
      </c>
      <c r="CD21" s="464">
        <v>128296.796875</v>
      </c>
      <c r="CE21" s="464">
        <v>37200</v>
      </c>
      <c r="CF21" s="464">
        <v>20800</v>
      </c>
      <c r="CG21" s="464">
        <v>58000</v>
      </c>
      <c r="CH21" s="14"/>
      <c r="CI21" s="14"/>
      <c r="CJ21" s="14"/>
    </row>
    <row r="22" spans="1:88" ht="32.25" customHeight="1">
      <c r="A22" s="400"/>
      <c r="B22" s="400"/>
      <c r="F22" s="658" t="str">
        <f>D8&amp;" (W1,1)"</f>
        <v>Précipitations (W1,1)</v>
      </c>
      <c r="G22" s="673"/>
      <c r="H22" s="659"/>
      <c r="I22" s="273"/>
      <c r="J22" s="273"/>
      <c r="K22" s="273"/>
      <c r="L22" s="273"/>
      <c r="M22" s="273"/>
      <c r="N22" s="273"/>
      <c r="O22" s="273"/>
      <c r="P22" s="273"/>
      <c r="Q22" s="273"/>
      <c r="R22" s="273"/>
      <c r="S22" s="273"/>
      <c r="T22" s="273"/>
      <c r="U22" s="658" t="str">
        <f>D9&amp;" (W1,2)"</f>
        <v>Évapotranspiration réelle (W1,2)</v>
      </c>
      <c r="V22" s="673"/>
      <c r="W22" s="673"/>
      <c r="X22" s="673"/>
      <c r="Y22" s="659"/>
      <c r="Z22" s="273"/>
      <c r="AA22" s="273"/>
      <c r="AB22" s="273"/>
      <c r="AC22" s="273"/>
      <c r="AD22" s="273"/>
      <c r="AE22" s="273"/>
      <c r="AF22" s="273"/>
      <c r="AG22" s="273"/>
      <c r="AH22" s="273"/>
      <c r="AI22" s="273"/>
      <c r="AJ22" s="273"/>
      <c r="AK22" s="273"/>
      <c r="AL22" s="273"/>
      <c r="AM22" s="273"/>
      <c r="AN22" s="273"/>
      <c r="AO22" s="373"/>
      <c r="AP22" s="466">
        <v>8</v>
      </c>
      <c r="AQ22" s="467" t="s">
        <v>571</v>
      </c>
      <c r="AR22" s="60" t="s">
        <v>169</v>
      </c>
      <c r="AS22" s="328">
        <f>F10+F11</f>
        <v>0</v>
      </c>
      <c r="AT22" s="328"/>
      <c r="AU22" s="328">
        <f aca="true" t="shared" si="19" ref="AU22:BY22">H10+H11</f>
        <v>0</v>
      </c>
      <c r="AV22" s="328"/>
      <c r="AW22" s="328">
        <f t="shared" si="19"/>
        <v>0</v>
      </c>
      <c r="AX22" s="328"/>
      <c r="AY22" s="328">
        <f t="shared" si="19"/>
        <v>0</v>
      </c>
      <c r="AZ22" s="328"/>
      <c r="BA22" s="328">
        <f t="shared" si="19"/>
        <v>0</v>
      </c>
      <c r="BB22" s="328"/>
      <c r="BC22" s="328">
        <f t="shared" si="19"/>
        <v>0</v>
      </c>
      <c r="BD22" s="328"/>
      <c r="BE22" s="328">
        <f t="shared" si="19"/>
        <v>0</v>
      </c>
      <c r="BF22" s="328"/>
      <c r="BG22" s="328">
        <f t="shared" si="19"/>
        <v>0</v>
      </c>
      <c r="BH22" s="328"/>
      <c r="BI22" s="328">
        <f t="shared" si="19"/>
        <v>0</v>
      </c>
      <c r="BJ22" s="328"/>
      <c r="BK22" s="328">
        <f t="shared" si="19"/>
        <v>0</v>
      </c>
      <c r="BL22" s="328"/>
      <c r="BM22" s="328">
        <f t="shared" si="19"/>
        <v>0</v>
      </c>
      <c r="BN22" s="328"/>
      <c r="BO22" s="328">
        <f t="shared" si="19"/>
        <v>0</v>
      </c>
      <c r="BP22" s="328"/>
      <c r="BQ22" s="328">
        <f t="shared" si="19"/>
        <v>0</v>
      </c>
      <c r="BR22" s="328"/>
      <c r="BS22" s="328">
        <f t="shared" si="19"/>
        <v>0</v>
      </c>
      <c r="BT22" s="328"/>
      <c r="BU22" s="328">
        <f t="shared" si="19"/>
        <v>0</v>
      </c>
      <c r="BV22" s="328"/>
      <c r="BW22" s="328">
        <f t="shared" si="19"/>
        <v>0</v>
      </c>
      <c r="BX22" s="328"/>
      <c r="BY22" s="328">
        <f t="shared" si="19"/>
        <v>0</v>
      </c>
      <c r="BZ22" s="329"/>
      <c r="CA22" s="14"/>
      <c r="CB22" s="464">
        <v>56</v>
      </c>
      <c r="CC22" s="465" t="s">
        <v>197</v>
      </c>
      <c r="CD22" s="464">
        <v>25841.970703125</v>
      </c>
      <c r="CE22" s="464">
        <v>12000</v>
      </c>
      <c r="CF22" s="464">
        <v>6300</v>
      </c>
      <c r="CG22" s="464">
        <v>18300</v>
      </c>
      <c r="CH22" s="14"/>
      <c r="CI22" s="14"/>
      <c r="CJ22" s="14"/>
    </row>
    <row r="23" spans="1:88" ht="17.25" customHeight="1">
      <c r="A23" s="400"/>
      <c r="B23" s="400"/>
      <c r="C23" s="266"/>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373"/>
      <c r="AP23" s="468" t="s">
        <v>677</v>
      </c>
      <c r="AQ23" s="467" t="s">
        <v>572</v>
      </c>
      <c r="AR23" s="60"/>
      <c r="AS23" s="328" t="str">
        <f>IF(OR(ISBLANK(F10),ISBLANK(F11)),"N/A",IF((ROUND(AS20,0)=ROUND(AS22,0)),"ok","&lt;&gt;"))</f>
        <v>N/A</v>
      </c>
      <c r="AT23" s="328"/>
      <c r="AU23" s="328" t="str">
        <f>IF(OR(ISBLANK(H10),ISBLANK(H11)),"N/A",IF((ROUND(AU20,0)=ROUND(AU22,0)),"ok","&lt;&gt;"))</f>
        <v>N/A</v>
      </c>
      <c r="AV23" s="328"/>
      <c r="AW23" s="328" t="str">
        <f>IF(OR(ISBLANK(J10),ISBLANK(J11)),"N/A",IF((ROUND(AW20,0)=ROUND(AW22,0)),"ok","&lt;&gt;"))</f>
        <v>N/A</v>
      </c>
      <c r="AX23" s="328"/>
      <c r="AY23" s="328" t="str">
        <f>IF(OR(ISBLANK(L10),ISBLANK(L11)),"N/A",IF((ROUND(AY20,0)=ROUND(AY22,0)),"ok","&lt;&gt;"))</f>
        <v>N/A</v>
      </c>
      <c r="AZ23" s="328"/>
      <c r="BA23" s="328" t="str">
        <f>IF(OR(ISBLANK(N10),ISBLANK(N11)),"N/A",IF((ROUND(BA20,0)=ROUND(BA22,0)),"ok","&lt;&gt;"))</f>
        <v>N/A</v>
      </c>
      <c r="BB23" s="328"/>
      <c r="BC23" s="328" t="str">
        <f>IF(OR(ISBLANK(P10),ISBLANK(P11)),"N/A",IF((ROUND(BC20,0)=ROUND(BC22,0)),"ok","&lt;&gt;"))</f>
        <v>N/A</v>
      </c>
      <c r="BD23" s="328"/>
      <c r="BE23" s="328" t="str">
        <f>IF(OR(ISBLANK(R10),ISBLANK(R11)),"N/A",IF((ROUND(BE20,0)=ROUND(BE22,0)),"ok","&lt;&gt;"))</f>
        <v>N/A</v>
      </c>
      <c r="BF23" s="328"/>
      <c r="BG23" s="328" t="str">
        <f>IF(OR(ISBLANK(T10),ISBLANK(T11)),"N/A",IF((ROUND(BG20,0)=ROUND(BG22,0)),"ok","&lt;&gt;"))</f>
        <v>N/A</v>
      </c>
      <c r="BH23" s="328"/>
      <c r="BI23" s="328" t="str">
        <f>IF(OR(ISBLANK(V10),ISBLANK(V11)),"N/A",IF((ROUND(BI20,0)=ROUND(BI22,0)),"ok","&lt;&gt;"))</f>
        <v>N/A</v>
      </c>
      <c r="BJ23" s="328"/>
      <c r="BK23" s="328" t="str">
        <f>IF(OR(ISBLANK(X10),ISBLANK(X11)),"N/A",IF((ROUND(BK20,0)=ROUND(BK22,0)),"ok","&lt;&gt;"))</f>
        <v>N/A</v>
      </c>
      <c r="BL23" s="328"/>
      <c r="BM23" s="328" t="str">
        <f>IF(OR(ISBLANK(Z10),ISBLANK(Z11)),"N/A",IF((ROUND(BM20,0)=ROUND(BM22,0)),"ok","&lt;&gt;"))</f>
        <v>N/A</v>
      </c>
      <c r="BN23" s="328"/>
      <c r="BO23" s="328" t="str">
        <f>IF(OR(ISBLANK(AB10),ISBLANK(AB11)),"N/A",IF((ROUND(BO20,0)=ROUND(BO22,0)),"ok","&lt;&gt;"))</f>
        <v>N/A</v>
      </c>
      <c r="BP23" s="328"/>
      <c r="BQ23" s="328" t="str">
        <f>IF(OR(ISBLANK(AD10),ISBLANK(AD11)),"N/A",IF((ROUND(BQ20,0)=ROUND(BQ22,0)),"ok","&lt;&gt;"))</f>
        <v>N/A</v>
      </c>
      <c r="BR23" s="328"/>
      <c r="BS23" s="328" t="str">
        <f>IF(OR(ISBLANK(AF10),ISBLANK(AF11)),"N/A",IF((ROUND(BS20,0)=ROUND(BS22,0)),"ok","&lt;&gt;"))</f>
        <v>N/A</v>
      </c>
      <c r="BT23" s="328"/>
      <c r="BU23" s="328" t="str">
        <f>IF(OR(ISBLANK(AH10),ISBLANK(AH11)),"N/A",IF((ROUND(BU20,0)=ROUND(BU22,0)),"ok","&lt;&gt;"))</f>
        <v>N/A</v>
      </c>
      <c r="BV23" s="328"/>
      <c r="BW23" s="328" t="str">
        <f>IF(OR(ISBLANK(AJ10),ISBLANK(AJ11)),"N/A",IF((ROUND(BW20,0)=ROUND(BW22,0)),"ok","&lt;&gt;"))</f>
        <v>N/A</v>
      </c>
      <c r="BX23" s="328"/>
      <c r="BY23" s="328" t="str">
        <f>IF(OR(ISBLANK(AL10),ISBLANK(AL11)),"N/A",IF((ROUND(BY20,0)=ROUND(BY22,0)),"ok","&lt;&gt;"))</f>
        <v>N/A</v>
      </c>
      <c r="BZ23" s="329"/>
      <c r="CA23" s="14"/>
      <c r="CB23" s="464">
        <v>58</v>
      </c>
      <c r="CC23" s="465" t="s">
        <v>198</v>
      </c>
      <c r="CD23" s="464">
        <v>28257.2890625</v>
      </c>
      <c r="CE23" s="464">
        <v>13000</v>
      </c>
      <c r="CF23" s="464">
        <v>8400</v>
      </c>
      <c r="CG23" s="464">
        <v>21400</v>
      </c>
      <c r="CH23" s="14"/>
      <c r="CI23" s="14"/>
      <c r="CJ23" s="14"/>
    </row>
    <row r="24" spans="1:88" ht="20.25" customHeight="1">
      <c r="A24" s="400"/>
      <c r="B24" s="400"/>
      <c r="C24" s="266"/>
      <c r="D24" s="273"/>
      <c r="F24" s="72"/>
      <c r="G24" s="658" t="str">
        <f>LEFT(D10,LEN(D10)-6)&amp;" (W1,3)"</f>
        <v>Flux interne  (W1,3)</v>
      </c>
      <c r="H24" s="673"/>
      <c r="I24" s="673"/>
      <c r="J24" s="673"/>
      <c r="K24" s="673"/>
      <c r="L24" s="673"/>
      <c r="M24" s="673"/>
      <c r="N24" s="673"/>
      <c r="O24" s="673"/>
      <c r="P24" s="673"/>
      <c r="Q24" s="673"/>
      <c r="R24" s="673"/>
      <c r="S24" s="673"/>
      <c r="T24" s="673"/>
      <c r="U24" s="673"/>
      <c r="V24" s="659"/>
      <c r="W24" s="273"/>
      <c r="X24" s="273"/>
      <c r="Y24" s="273"/>
      <c r="Z24" s="273"/>
      <c r="AA24" s="273"/>
      <c r="AB24" s="273"/>
      <c r="AC24" s="273"/>
      <c r="AD24" s="273"/>
      <c r="AE24" s="273"/>
      <c r="AF24" s="273"/>
      <c r="AG24" s="273"/>
      <c r="AH24" s="273"/>
      <c r="AI24" s="273"/>
      <c r="AJ24" s="273"/>
      <c r="AK24" s="273"/>
      <c r="AL24" s="273"/>
      <c r="AM24" s="273"/>
      <c r="AN24" s="273"/>
      <c r="AO24" s="373"/>
      <c r="AP24" s="310">
        <v>1</v>
      </c>
      <c r="AQ24" s="311" t="s">
        <v>494</v>
      </c>
      <c r="AR24" s="310" t="s">
        <v>169</v>
      </c>
      <c r="AS24" s="328" t="str">
        <f>IF(ISBLANK(F8),"N/A",F8)</f>
        <v>N/A</v>
      </c>
      <c r="AT24" s="147"/>
      <c r="AU24" s="142" t="s">
        <v>644</v>
      </c>
      <c r="AV24" s="147"/>
      <c r="AW24" s="142" t="s">
        <v>644</v>
      </c>
      <c r="AX24" s="147"/>
      <c r="AY24" s="142" t="s">
        <v>644</v>
      </c>
      <c r="AZ24" s="147"/>
      <c r="BA24" s="142" t="s">
        <v>644</v>
      </c>
      <c r="BB24" s="147"/>
      <c r="BC24" s="142" t="s">
        <v>644</v>
      </c>
      <c r="BD24" s="147"/>
      <c r="BE24" s="142" t="s">
        <v>644</v>
      </c>
      <c r="BF24" s="147"/>
      <c r="BG24" s="142" t="s">
        <v>644</v>
      </c>
      <c r="BH24" s="147"/>
      <c r="BI24" s="142" t="s">
        <v>644</v>
      </c>
      <c r="BJ24" s="147"/>
      <c r="BK24" s="142" t="s">
        <v>644</v>
      </c>
      <c r="BL24" s="142"/>
      <c r="BM24" s="142" t="s">
        <v>644</v>
      </c>
      <c r="BN24" s="147"/>
      <c r="BO24" s="142" t="s">
        <v>644</v>
      </c>
      <c r="BP24" s="147"/>
      <c r="BQ24" s="142" t="s">
        <v>644</v>
      </c>
      <c r="BR24" s="147"/>
      <c r="BS24" s="142" t="s">
        <v>644</v>
      </c>
      <c r="BT24" s="147"/>
      <c r="BU24" s="142" t="s">
        <v>644</v>
      </c>
      <c r="BV24" s="329"/>
      <c r="BW24" s="142" t="s">
        <v>644</v>
      </c>
      <c r="BX24" s="329"/>
      <c r="BY24" s="142" t="s">
        <v>644</v>
      </c>
      <c r="BZ24" s="329"/>
      <c r="CA24" s="14"/>
      <c r="CB24" s="464">
        <v>84</v>
      </c>
      <c r="CC24" s="465" t="s">
        <v>199</v>
      </c>
      <c r="CD24" s="464">
        <v>39100</v>
      </c>
      <c r="CE24" s="464">
        <v>16000</v>
      </c>
      <c r="CF24" s="464">
        <v>2555</v>
      </c>
      <c r="CG24" s="464">
        <v>18555</v>
      </c>
      <c r="CH24" s="14"/>
      <c r="CI24" s="14"/>
      <c r="CJ24" s="14"/>
    </row>
    <row r="25" spans="1:88" ht="16.5" customHeight="1">
      <c r="A25" s="400"/>
      <c r="B25" s="400"/>
      <c r="C25" s="266"/>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373"/>
      <c r="AP25" s="466">
        <v>9</v>
      </c>
      <c r="AQ25" s="467" t="s">
        <v>611</v>
      </c>
      <c r="AR25" s="60" t="s">
        <v>169</v>
      </c>
      <c r="AS25" s="328" t="e">
        <f>VLOOKUP(B3,CB7:CG198,3,FALSE)</f>
        <v>#N/A</v>
      </c>
      <c r="AT25" s="147"/>
      <c r="AU25" s="142" t="s">
        <v>644</v>
      </c>
      <c r="AV25" s="147"/>
      <c r="AW25" s="142" t="s">
        <v>644</v>
      </c>
      <c r="AX25" s="147"/>
      <c r="AY25" s="142" t="s">
        <v>644</v>
      </c>
      <c r="AZ25" s="147"/>
      <c r="BA25" s="142" t="s">
        <v>644</v>
      </c>
      <c r="BB25" s="147"/>
      <c r="BC25" s="142" t="s">
        <v>644</v>
      </c>
      <c r="BD25" s="147"/>
      <c r="BE25" s="142" t="s">
        <v>644</v>
      </c>
      <c r="BF25" s="147"/>
      <c r="BG25" s="142" t="s">
        <v>644</v>
      </c>
      <c r="BH25" s="147"/>
      <c r="BI25" s="142" t="s">
        <v>644</v>
      </c>
      <c r="BJ25" s="147"/>
      <c r="BK25" s="142" t="s">
        <v>644</v>
      </c>
      <c r="BL25" s="142"/>
      <c r="BM25" s="142" t="s">
        <v>644</v>
      </c>
      <c r="BN25" s="147"/>
      <c r="BO25" s="142" t="s">
        <v>644</v>
      </c>
      <c r="BP25" s="147"/>
      <c r="BQ25" s="142" t="s">
        <v>644</v>
      </c>
      <c r="BR25" s="147"/>
      <c r="BS25" s="142" t="s">
        <v>644</v>
      </c>
      <c r="BT25" s="147"/>
      <c r="BU25" s="142" t="s">
        <v>644</v>
      </c>
      <c r="BV25" s="329"/>
      <c r="BW25" s="142" t="s">
        <v>644</v>
      </c>
      <c r="BX25" s="329"/>
      <c r="BY25" s="142" t="s">
        <v>644</v>
      </c>
      <c r="BZ25" s="329"/>
      <c r="CA25" s="14"/>
      <c r="CB25" s="464">
        <v>204</v>
      </c>
      <c r="CC25" s="465" t="s">
        <v>200</v>
      </c>
      <c r="CD25" s="464">
        <v>117045.96875</v>
      </c>
      <c r="CE25" s="464">
        <v>10300</v>
      </c>
      <c r="CF25" s="464">
        <v>14500</v>
      </c>
      <c r="CG25" s="464">
        <v>24800</v>
      </c>
      <c r="CH25" s="14"/>
      <c r="CI25" s="14"/>
      <c r="CJ25" s="14"/>
    </row>
    <row r="26" spans="1:88" s="24" customFormat="1" ht="43.5" customHeight="1">
      <c r="A26" s="400"/>
      <c r="B26" s="400"/>
      <c r="C26" s="266"/>
      <c r="E26" s="72"/>
      <c r="F26" s="658" t="str">
        <f>D11&amp;" (W1,4)"</f>
        <v>Apport externe d’eaux de surface 
et d’eaux souterraines (W1,4)</v>
      </c>
      <c r="G26" s="673"/>
      <c r="H26" s="659"/>
      <c r="I26" s="305"/>
      <c r="J26" s="305"/>
      <c r="K26" s="305"/>
      <c r="L26" s="305"/>
      <c r="M26" s="305"/>
      <c r="N26" s="305"/>
      <c r="O26" s="305"/>
      <c r="P26" s="305"/>
      <c r="Q26" s="305"/>
      <c r="R26" s="305"/>
      <c r="S26" s="305"/>
      <c r="T26" s="305"/>
      <c r="V26" s="658" t="str">
        <f>LEFT(D12,LEN(D12)-8)&amp;" (W1,5)"</f>
        <v>Ressources renouvelables en eau douce  (W1,5)</v>
      </c>
      <c r="W26" s="679"/>
      <c r="X26" s="679"/>
      <c r="Y26" s="680"/>
      <c r="AA26" s="72"/>
      <c r="AB26" s="658" t="str">
        <f>D13&amp;" (W1,6)"</f>
        <v>Flux sortants d’eaux de surface 
et d’eaux souterraines (W1,6)</v>
      </c>
      <c r="AC26" s="673"/>
      <c r="AD26" s="673"/>
      <c r="AE26" s="673"/>
      <c r="AF26" s="659"/>
      <c r="AG26" s="305"/>
      <c r="AH26" s="305"/>
      <c r="AI26" s="305"/>
      <c r="AJ26" s="305"/>
      <c r="AK26" s="305"/>
      <c r="AL26" s="305"/>
      <c r="AM26" s="305"/>
      <c r="AN26" s="305"/>
      <c r="AO26" s="373"/>
      <c r="AP26" s="468" t="s">
        <v>677</v>
      </c>
      <c r="AQ26" s="475" t="s">
        <v>573</v>
      </c>
      <c r="AR26" s="60" t="s">
        <v>169</v>
      </c>
      <c r="AS26" s="328" t="e">
        <f>ABS(AS24-AS25)</f>
        <v>#VALUE!</v>
      </c>
      <c r="AT26" s="147"/>
      <c r="AU26" s="142" t="s">
        <v>644</v>
      </c>
      <c r="AV26" s="147"/>
      <c r="AW26" s="142" t="s">
        <v>644</v>
      </c>
      <c r="AX26" s="147"/>
      <c r="AY26" s="142" t="s">
        <v>644</v>
      </c>
      <c r="AZ26" s="147"/>
      <c r="BA26" s="142" t="s">
        <v>644</v>
      </c>
      <c r="BB26" s="147"/>
      <c r="BC26" s="142" t="s">
        <v>644</v>
      </c>
      <c r="BD26" s="147"/>
      <c r="BE26" s="142" t="s">
        <v>644</v>
      </c>
      <c r="BF26" s="147"/>
      <c r="BG26" s="142" t="s">
        <v>644</v>
      </c>
      <c r="BH26" s="147"/>
      <c r="BI26" s="142" t="s">
        <v>644</v>
      </c>
      <c r="BJ26" s="147"/>
      <c r="BK26" s="142" t="s">
        <v>644</v>
      </c>
      <c r="BL26" s="142"/>
      <c r="BM26" s="142" t="s">
        <v>644</v>
      </c>
      <c r="BN26" s="147"/>
      <c r="BO26" s="142" t="s">
        <v>644</v>
      </c>
      <c r="BP26" s="147"/>
      <c r="BQ26" s="142" t="s">
        <v>644</v>
      </c>
      <c r="BR26" s="147"/>
      <c r="BS26" s="142" t="s">
        <v>644</v>
      </c>
      <c r="BT26" s="147"/>
      <c r="BU26" s="142" t="s">
        <v>644</v>
      </c>
      <c r="BV26" s="329"/>
      <c r="BW26" s="142" t="s">
        <v>644</v>
      </c>
      <c r="BX26" s="329"/>
      <c r="BY26" s="142" t="s">
        <v>644</v>
      </c>
      <c r="BZ26" s="329"/>
      <c r="CA26" s="271"/>
      <c r="CB26" s="464">
        <v>60</v>
      </c>
      <c r="CC26" s="465" t="s">
        <v>201</v>
      </c>
      <c r="CD26" s="464">
        <v>75.33000183105469</v>
      </c>
      <c r="CE26" s="464" t="s">
        <v>616</v>
      </c>
      <c r="CF26" s="464" t="s">
        <v>616</v>
      </c>
      <c r="CG26" s="464" t="s">
        <v>616</v>
      </c>
      <c r="CH26" s="271"/>
      <c r="CI26" s="271"/>
      <c r="CJ26" s="271"/>
    </row>
    <row r="27" spans="1:88" s="24" customFormat="1" ht="3.75" customHeight="1">
      <c r="A27" s="400"/>
      <c r="B27" s="400"/>
      <c r="C27" s="266"/>
      <c r="E27" s="306"/>
      <c r="F27" s="306"/>
      <c r="G27" s="271"/>
      <c r="I27" s="305"/>
      <c r="J27" s="305"/>
      <c r="K27" s="305"/>
      <c r="L27" s="305"/>
      <c r="M27" s="305"/>
      <c r="N27" s="305"/>
      <c r="O27" s="305"/>
      <c r="P27" s="305"/>
      <c r="Q27" s="305"/>
      <c r="R27" s="305"/>
      <c r="S27" s="305"/>
      <c r="T27" s="305"/>
      <c r="U27" s="306"/>
      <c r="V27" s="306"/>
      <c r="W27" s="306"/>
      <c r="X27" s="305"/>
      <c r="Y27" s="305"/>
      <c r="Z27" s="306"/>
      <c r="AA27" s="306"/>
      <c r="AB27" s="306"/>
      <c r="AC27" s="306"/>
      <c r="AD27" s="305"/>
      <c r="AE27" s="305"/>
      <c r="AF27" s="305"/>
      <c r="AG27" s="305"/>
      <c r="AH27" s="305"/>
      <c r="AI27" s="305"/>
      <c r="AJ27" s="305"/>
      <c r="AK27" s="305"/>
      <c r="AL27" s="305"/>
      <c r="AM27" s="305"/>
      <c r="AN27" s="305"/>
      <c r="AO27" s="373"/>
      <c r="AP27" s="320"/>
      <c r="AQ27" s="321"/>
      <c r="AR27" s="320"/>
      <c r="AS27" s="322"/>
      <c r="AT27" s="323"/>
      <c r="AU27" s="142"/>
      <c r="AV27" s="323"/>
      <c r="AW27" s="142"/>
      <c r="AX27" s="323"/>
      <c r="AY27" s="142"/>
      <c r="AZ27" s="323"/>
      <c r="BA27" s="142"/>
      <c r="BB27" s="323"/>
      <c r="BC27" s="142"/>
      <c r="BD27" s="323"/>
      <c r="BE27" s="142"/>
      <c r="BF27" s="323"/>
      <c r="BG27" s="142"/>
      <c r="BH27" s="323"/>
      <c r="BI27" s="142"/>
      <c r="BJ27" s="323"/>
      <c r="BK27" s="142"/>
      <c r="BL27" s="322"/>
      <c r="BM27" s="142"/>
      <c r="BN27" s="323"/>
      <c r="BO27" s="142"/>
      <c r="BP27" s="323"/>
      <c r="BQ27" s="142"/>
      <c r="BR27" s="323"/>
      <c r="BS27" s="142"/>
      <c r="BT27" s="323"/>
      <c r="BU27" s="142"/>
      <c r="BV27" s="251"/>
      <c r="BW27" s="142"/>
      <c r="BX27" s="251"/>
      <c r="BY27" s="142"/>
      <c r="BZ27" s="251"/>
      <c r="CA27" s="271"/>
      <c r="CB27" s="464">
        <v>64</v>
      </c>
      <c r="CC27" s="465" t="s">
        <v>202</v>
      </c>
      <c r="CD27" s="464">
        <v>103400</v>
      </c>
      <c r="CE27" s="464">
        <v>95000</v>
      </c>
      <c r="CF27" s="464">
        <v>0</v>
      </c>
      <c r="CG27" s="464">
        <v>95000</v>
      </c>
      <c r="CH27" s="271"/>
      <c r="CI27" s="271"/>
      <c r="CJ27" s="271"/>
    </row>
    <row r="28" spans="1:88" s="50" customFormat="1" ht="15.75">
      <c r="A28" s="401"/>
      <c r="B28" s="398">
        <v>2</v>
      </c>
      <c r="C28" s="119" t="s">
        <v>50</v>
      </c>
      <c r="D28" s="118"/>
      <c r="E28" s="119"/>
      <c r="F28" s="557"/>
      <c r="G28" s="162"/>
      <c r="H28" s="182"/>
      <c r="I28" s="166"/>
      <c r="J28" s="182"/>
      <c r="K28" s="166"/>
      <c r="L28" s="182"/>
      <c r="M28" s="166"/>
      <c r="N28" s="182"/>
      <c r="O28" s="166"/>
      <c r="P28" s="182"/>
      <c r="Q28" s="162"/>
      <c r="R28" s="182"/>
      <c r="S28" s="162"/>
      <c r="T28" s="182"/>
      <c r="U28" s="162"/>
      <c r="V28" s="182"/>
      <c r="W28" s="162"/>
      <c r="X28" s="182"/>
      <c r="Y28" s="162"/>
      <c r="Z28" s="182"/>
      <c r="AA28" s="162"/>
      <c r="AB28" s="182"/>
      <c r="AC28" s="166"/>
      <c r="AD28" s="182"/>
      <c r="AE28" s="162"/>
      <c r="AF28" s="182"/>
      <c r="AG28" s="162"/>
      <c r="AH28" s="182"/>
      <c r="AI28" s="162"/>
      <c r="AJ28" s="182"/>
      <c r="AK28" s="122"/>
      <c r="AL28" s="557"/>
      <c r="AM28" s="557"/>
      <c r="AN28" s="557"/>
      <c r="AO28" s="309"/>
      <c r="AP28" s="60">
        <v>3</v>
      </c>
      <c r="AQ28" s="314" t="s">
        <v>544</v>
      </c>
      <c r="AR28" s="60" t="s">
        <v>169</v>
      </c>
      <c r="AS28" s="328" t="str">
        <f>IF(ISBLANK(F10),"N/A",F10)</f>
        <v>N/A</v>
      </c>
      <c r="AT28" s="147"/>
      <c r="AU28" s="142" t="s">
        <v>644</v>
      </c>
      <c r="AV28" s="147"/>
      <c r="AW28" s="142" t="s">
        <v>644</v>
      </c>
      <c r="AX28" s="147"/>
      <c r="AY28" s="142" t="s">
        <v>644</v>
      </c>
      <c r="AZ28" s="147"/>
      <c r="BA28" s="142" t="s">
        <v>644</v>
      </c>
      <c r="BB28" s="147"/>
      <c r="BC28" s="142" t="s">
        <v>644</v>
      </c>
      <c r="BD28" s="147"/>
      <c r="BE28" s="142" t="s">
        <v>644</v>
      </c>
      <c r="BF28" s="147"/>
      <c r="BG28" s="142" t="s">
        <v>644</v>
      </c>
      <c r="BH28" s="147"/>
      <c r="BI28" s="142" t="s">
        <v>644</v>
      </c>
      <c r="BJ28" s="147"/>
      <c r="BK28" s="142" t="s">
        <v>644</v>
      </c>
      <c r="BL28" s="142"/>
      <c r="BM28" s="142" t="s">
        <v>644</v>
      </c>
      <c r="BN28" s="147"/>
      <c r="BO28" s="142" t="s">
        <v>644</v>
      </c>
      <c r="BP28" s="147"/>
      <c r="BQ28" s="142" t="s">
        <v>644</v>
      </c>
      <c r="BR28" s="147"/>
      <c r="BS28" s="142" t="s">
        <v>644</v>
      </c>
      <c r="BT28" s="147"/>
      <c r="BU28" s="142" t="s">
        <v>644</v>
      </c>
      <c r="BV28" s="329"/>
      <c r="BW28" s="142" t="s">
        <v>644</v>
      </c>
      <c r="BX28" s="329"/>
      <c r="BY28" s="142" t="s">
        <v>644</v>
      </c>
      <c r="BZ28" s="329"/>
      <c r="CA28" s="270"/>
      <c r="CB28" s="464">
        <v>68</v>
      </c>
      <c r="CC28" s="465" t="s">
        <v>203</v>
      </c>
      <c r="CD28" s="464">
        <v>1258862.875</v>
      </c>
      <c r="CE28" s="464">
        <v>303531</v>
      </c>
      <c r="CF28" s="464">
        <v>319000</v>
      </c>
      <c r="CG28" s="464">
        <v>622531</v>
      </c>
      <c r="CH28" s="270"/>
      <c r="CI28" s="270"/>
      <c r="CJ28" s="270"/>
    </row>
    <row r="29" spans="3:85" ht="3.75" customHeight="1">
      <c r="C29" s="44"/>
      <c r="D29" s="53"/>
      <c r="E29" s="19"/>
      <c r="G29" s="163"/>
      <c r="H29" s="183"/>
      <c r="I29" s="167"/>
      <c r="J29" s="183"/>
      <c r="K29" s="167"/>
      <c r="L29" s="183"/>
      <c r="M29" s="167"/>
      <c r="N29" s="183"/>
      <c r="O29" s="167"/>
      <c r="P29" s="183"/>
      <c r="Q29" s="163"/>
      <c r="R29" s="183"/>
      <c r="S29" s="163"/>
      <c r="T29" s="183"/>
      <c r="U29" s="163"/>
      <c r="V29" s="183"/>
      <c r="W29" s="163"/>
      <c r="X29" s="183"/>
      <c r="Y29" s="163"/>
      <c r="Z29" s="183"/>
      <c r="AA29" s="163"/>
      <c r="AB29" s="183"/>
      <c r="AC29" s="167"/>
      <c r="AD29" s="183"/>
      <c r="AE29" s="163"/>
      <c r="AF29" s="183"/>
      <c r="AG29" s="163"/>
      <c r="AH29" s="183"/>
      <c r="AI29" s="163"/>
      <c r="AJ29" s="183"/>
      <c r="AK29" s="2"/>
      <c r="AU29" s="142"/>
      <c r="AW29" s="142"/>
      <c r="AY29" s="142"/>
      <c r="BA29" s="142"/>
      <c r="BC29" s="142"/>
      <c r="BE29" s="142"/>
      <c r="BG29" s="142"/>
      <c r="BI29" s="142"/>
      <c r="BK29" s="142"/>
      <c r="BM29" s="142"/>
      <c r="BO29" s="142"/>
      <c r="BQ29" s="142"/>
      <c r="BS29" s="142"/>
      <c r="BU29" s="142"/>
      <c r="BW29" s="142"/>
      <c r="BY29" s="142"/>
      <c r="CB29" s="464">
        <v>70</v>
      </c>
      <c r="CC29" s="465" t="s">
        <v>204</v>
      </c>
      <c r="CD29" s="464">
        <v>52561.640625</v>
      </c>
      <c r="CE29" s="464">
        <v>35500</v>
      </c>
      <c r="CF29" s="464">
        <v>2000</v>
      </c>
      <c r="CG29" s="464">
        <v>37500</v>
      </c>
    </row>
    <row r="30" spans="3:85" ht="18" customHeight="1">
      <c r="C30" s="73" t="s">
        <v>168</v>
      </c>
      <c r="D30" s="686" t="s">
        <v>51</v>
      </c>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8"/>
      <c r="AP30" s="476">
        <v>10</v>
      </c>
      <c r="AQ30" s="467" t="s">
        <v>612</v>
      </c>
      <c r="AR30" s="60" t="s">
        <v>169</v>
      </c>
      <c r="AS30" s="328" t="e">
        <f>VLOOKUP(B3,CB7:CG198,4,FALSE)</f>
        <v>#N/A</v>
      </c>
      <c r="AT30" s="147"/>
      <c r="AU30" s="142" t="s">
        <v>644</v>
      </c>
      <c r="AV30" s="147"/>
      <c r="AW30" s="142" t="s">
        <v>644</v>
      </c>
      <c r="AX30" s="147"/>
      <c r="AY30" s="142" t="s">
        <v>644</v>
      </c>
      <c r="AZ30" s="147"/>
      <c r="BA30" s="142" t="s">
        <v>644</v>
      </c>
      <c r="BB30" s="147"/>
      <c r="BC30" s="142" t="s">
        <v>644</v>
      </c>
      <c r="BD30" s="147"/>
      <c r="BE30" s="142" t="s">
        <v>644</v>
      </c>
      <c r="BF30" s="147"/>
      <c r="BG30" s="142" t="s">
        <v>644</v>
      </c>
      <c r="BH30" s="147"/>
      <c r="BI30" s="142" t="s">
        <v>644</v>
      </c>
      <c r="BJ30" s="147"/>
      <c r="BK30" s="142" t="s">
        <v>644</v>
      </c>
      <c r="BL30" s="142"/>
      <c r="BM30" s="142" t="s">
        <v>644</v>
      </c>
      <c r="BN30" s="147"/>
      <c r="BO30" s="142" t="s">
        <v>644</v>
      </c>
      <c r="BP30" s="147"/>
      <c r="BQ30" s="142" t="s">
        <v>644</v>
      </c>
      <c r="BR30" s="147"/>
      <c r="BS30" s="142" t="s">
        <v>644</v>
      </c>
      <c r="BT30" s="147"/>
      <c r="BU30" s="142" t="s">
        <v>644</v>
      </c>
      <c r="BV30" s="329"/>
      <c r="BW30" s="142" t="s">
        <v>644</v>
      </c>
      <c r="BX30" s="329"/>
      <c r="BY30" s="142" t="s">
        <v>644</v>
      </c>
      <c r="BZ30" s="329"/>
      <c r="CB30" s="464">
        <v>72</v>
      </c>
      <c r="CC30" s="465" t="s">
        <v>205</v>
      </c>
      <c r="CD30" s="464">
        <v>241825.15625</v>
      </c>
      <c r="CE30" s="464">
        <v>2900</v>
      </c>
      <c r="CF30" s="464">
        <v>11500</v>
      </c>
      <c r="CG30" s="464">
        <v>14400</v>
      </c>
    </row>
    <row r="31" spans="3:85" ht="18" customHeight="1">
      <c r="C31" s="544"/>
      <c r="D31" s="670"/>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2"/>
      <c r="AP31" s="468" t="s">
        <v>677</v>
      </c>
      <c r="AQ31" s="467" t="s">
        <v>585</v>
      </c>
      <c r="AR31" s="60" t="s">
        <v>169</v>
      </c>
      <c r="AS31" s="60" t="e">
        <f>ABS(AS28-AS30)</f>
        <v>#VALUE!</v>
      </c>
      <c r="AT31" s="60"/>
      <c r="AU31" s="142" t="s">
        <v>644</v>
      </c>
      <c r="AV31" s="60"/>
      <c r="AW31" s="142" t="s">
        <v>644</v>
      </c>
      <c r="AX31" s="60"/>
      <c r="AY31" s="142" t="s">
        <v>644</v>
      </c>
      <c r="AZ31" s="60"/>
      <c r="BA31" s="142" t="s">
        <v>644</v>
      </c>
      <c r="BB31" s="60"/>
      <c r="BC31" s="142" t="s">
        <v>644</v>
      </c>
      <c r="BD31" s="60"/>
      <c r="BE31" s="142" t="s">
        <v>644</v>
      </c>
      <c r="BF31" s="60"/>
      <c r="BG31" s="142" t="s">
        <v>644</v>
      </c>
      <c r="BH31" s="60"/>
      <c r="BI31" s="142" t="s">
        <v>644</v>
      </c>
      <c r="BJ31" s="60"/>
      <c r="BK31" s="142" t="s">
        <v>644</v>
      </c>
      <c r="BL31" s="60"/>
      <c r="BM31" s="142" t="s">
        <v>644</v>
      </c>
      <c r="BN31" s="60"/>
      <c r="BO31" s="142" t="s">
        <v>644</v>
      </c>
      <c r="BP31" s="60"/>
      <c r="BQ31" s="142" t="s">
        <v>644</v>
      </c>
      <c r="BR31" s="60"/>
      <c r="BS31" s="142" t="s">
        <v>644</v>
      </c>
      <c r="BT31" s="60"/>
      <c r="BU31" s="142" t="s">
        <v>644</v>
      </c>
      <c r="BV31" s="60"/>
      <c r="BW31" s="142" t="s">
        <v>644</v>
      </c>
      <c r="BX31" s="60"/>
      <c r="BY31" s="142" t="s">
        <v>644</v>
      </c>
      <c r="BZ31" s="60"/>
      <c r="CB31" s="464">
        <v>76</v>
      </c>
      <c r="CC31" s="465" t="s">
        <v>206</v>
      </c>
      <c r="CD31" s="464">
        <v>15235740</v>
      </c>
      <c r="CE31" s="464">
        <v>5418000</v>
      </c>
      <c r="CF31" s="464">
        <v>2815000</v>
      </c>
      <c r="CG31" s="464">
        <v>8233000</v>
      </c>
    </row>
    <row r="32" spans="3:85" ht="18" customHeight="1">
      <c r="C32" s="544"/>
      <c r="D32" s="665"/>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666"/>
      <c r="AM32" s="666"/>
      <c r="AN32" s="667"/>
      <c r="AP32" s="60">
        <v>4</v>
      </c>
      <c r="AQ32" s="314" t="s">
        <v>547</v>
      </c>
      <c r="AR32" s="60" t="s">
        <v>169</v>
      </c>
      <c r="AS32" s="328" t="str">
        <f>IF(ISBLANK(F11),"N/A",F11)</f>
        <v>N/A</v>
      </c>
      <c r="AT32" s="60"/>
      <c r="AU32" s="142" t="s">
        <v>644</v>
      </c>
      <c r="AV32" s="60"/>
      <c r="AW32" s="142" t="s">
        <v>644</v>
      </c>
      <c r="AX32" s="60"/>
      <c r="AY32" s="142" t="s">
        <v>644</v>
      </c>
      <c r="AZ32" s="60"/>
      <c r="BA32" s="142" t="s">
        <v>644</v>
      </c>
      <c r="BB32" s="60"/>
      <c r="BC32" s="142" t="s">
        <v>644</v>
      </c>
      <c r="BD32" s="60"/>
      <c r="BE32" s="142" t="s">
        <v>644</v>
      </c>
      <c r="BF32" s="60"/>
      <c r="BG32" s="142" t="s">
        <v>644</v>
      </c>
      <c r="BH32" s="60"/>
      <c r="BI32" s="142" t="s">
        <v>644</v>
      </c>
      <c r="BJ32" s="60"/>
      <c r="BK32" s="142" t="s">
        <v>644</v>
      </c>
      <c r="BL32" s="60"/>
      <c r="BM32" s="142" t="s">
        <v>644</v>
      </c>
      <c r="BN32" s="60"/>
      <c r="BO32" s="142" t="s">
        <v>644</v>
      </c>
      <c r="BP32" s="60"/>
      <c r="BQ32" s="142" t="s">
        <v>644</v>
      </c>
      <c r="BR32" s="60"/>
      <c r="BS32" s="142" t="s">
        <v>644</v>
      </c>
      <c r="BT32" s="60"/>
      <c r="BU32" s="142" t="s">
        <v>644</v>
      </c>
      <c r="BV32" s="60"/>
      <c r="BW32" s="142" t="s">
        <v>644</v>
      </c>
      <c r="BX32" s="60"/>
      <c r="BY32" s="142" t="s">
        <v>644</v>
      </c>
      <c r="BZ32" s="60"/>
      <c r="CB32" s="464">
        <v>96</v>
      </c>
      <c r="CC32" s="465" t="s">
        <v>207</v>
      </c>
      <c r="CD32" s="464">
        <v>15705.9404296875</v>
      </c>
      <c r="CE32" s="464">
        <v>8500</v>
      </c>
      <c r="CF32" s="464">
        <v>0</v>
      </c>
      <c r="CG32" s="464">
        <v>8500</v>
      </c>
    </row>
    <row r="33" spans="3:85" ht="18" customHeight="1">
      <c r="C33" s="544"/>
      <c r="D33" s="665"/>
      <c r="E33" s="666"/>
      <c r="F33" s="666"/>
      <c r="G33" s="666"/>
      <c r="H33" s="666"/>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7"/>
      <c r="AP33" s="466">
        <v>11</v>
      </c>
      <c r="AQ33" s="467" t="s">
        <v>614</v>
      </c>
      <c r="AR33" s="60" t="s">
        <v>169</v>
      </c>
      <c r="AS33" s="60" t="e">
        <f>VLOOKUP(B3,CB7:CG198,5,FALSE)</f>
        <v>#N/A</v>
      </c>
      <c r="AT33" s="60"/>
      <c r="AU33" s="142" t="s">
        <v>644</v>
      </c>
      <c r="AV33" s="60"/>
      <c r="AW33" s="142" t="s">
        <v>644</v>
      </c>
      <c r="AX33" s="60"/>
      <c r="AY33" s="142" t="s">
        <v>644</v>
      </c>
      <c r="AZ33" s="60"/>
      <c r="BA33" s="142" t="s">
        <v>644</v>
      </c>
      <c r="BB33" s="60"/>
      <c r="BC33" s="142" t="s">
        <v>644</v>
      </c>
      <c r="BD33" s="60"/>
      <c r="BE33" s="142" t="s">
        <v>644</v>
      </c>
      <c r="BF33" s="60"/>
      <c r="BG33" s="142" t="s">
        <v>644</v>
      </c>
      <c r="BH33" s="60"/>
      <c r="BI33" s="142" t="s">
        <v>644</v>
      </c>
      <c r="BJ33" s="60"/>
      <c r="BK33" s="142" t="s">
        <v>644</v>
      </c>
      <c r="BL33" s="60"/>
      <c r="BM33" s="142" t="s">
        <v>644</v>
      </c>
      <c r="BN33" s="60"/>
      <c r="BO33" s="142" t="s">
        <v>644</v>
      </c>
      <c r="BP33" s="60"/>
      <c r="BQ33" s="142" t="s">
        <v>644</v>
      </c>
      <c r="BR33" s="60"/>
      <c r="BS33" s="142" t="s">
        <v>644</v>
      </c>
      <c r="BT33" s="60"/>
      <c r="BU33" s="142" t="s">
        <v>644</v>
      </c>
      <c r="BV33" s="60"/>
      <c r="BW33" s="142" t="s">
        <v>644</v>
      </c>
      <c r="BX33" s="60"/>
      <c r="BY33" s="142" t="s">
        <v>644</v>
      </c>
      <c r="BZ33" s="60"/>
      <c r="CB33" s="464">
        <v>100</v>
      </c>
      <c r="CC33" s="465" t="s">
        <v>208</v>
      </c>
      <c r="CD33" s="464">
        <v>67388.921875</v>
      </c>
      <c r="CE33" s="464">
        <v>21000</v>
      </c>
      <c r="CF33" s="464">
        <v>300</v>
      </c>
      <c r="CG33" s="464">
        <v>21300</v>
      </c>
    </row>
    <row r="34" spans="3:85" ht="18" customHeight="1">
      <c r="C34" s="544"/>
      <c r="D34" s="665"/>
      <c r="E34" s="666"/>
      <c r="F34" s="666"/>
      <c r="G34" s="666"/>
      <c r="H34" s="666"/>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7"/>
      <c r="AP34" s="468" t="s">
        <v>677</v>
      </c>
      <c r="AQ34" s="467" t="s">
        <v>586</v>
      </c>
      <c r="AR34" s="60" t="s">
        <v>169</v>
      </c>
      <c r="AS34" s="60" t="e">
        <f>ABS(AS32-AS33)</f>
        <v>#VALUE!</v>
      </c>
      <c r="AT34" s="60"/>
      <c r="AU34" s="142" t="s">
        <v>644</v>
      </c>
      <c r="AV34" s="60"/>
      <c r="AW34" s="142" t="s">
        <v>644</v>
      </c>
      <c r="AX34" s="60"/>
      <c r="AY34" s="142" t="s">
        <v>644</v>
      </c>
      <c r="AZ34" s="60"/>
      <c r="BA34" s="142" t="s">
        <v>644</v>
      </c>
      <c r="BB34" s="60"/>
      <c r="BC34" s="142" t="s">
        <v>644</v>
      </c>
      <c r="BD34" s="60"/>
      <c r="BE34" s="142" t="s">
        <v>644</v>
      </c>
      <c r="BF34" s="60"/>
      <c r="BG34" s="142" t="s">
        <v>644</v>
      </c>
      <c r="BH34" s="60"/>
      <c r="BI34" s="142" t="s">
        <v>644</v>
      </c>
      <c r="BJ34" s="60"/>
      <c r="BK34" s="142" t="s">
        <v>644</v>
      </c>
      <c r="BL34" s="60"/>
      <c r="BM34" s="142" t="s">
        <v>644</v>
      </c>
      <c r="BN34" s="60"/>
      <c r="BO34" s="142" t="s">
        <v>644</v>
      </c>
      <c r="BP34" s="60"/>
      <c r="BQ34" s="142" t="s">
        <v>644</v>
      </c>
      <c r="BR34" s="60"/>
      <c r="BS34" s="142" t="s">
        <v>644</v>
      </c>
      <c r="BT34" s="60"/>
      <c r="BU34" s="142" t="s">
        <v>644</v>
      </c>
      <c r="BV34" s="60"/>
      <c r="BW34" s="142" t="s">
        <v>644</v>
      </c>
      <c r="BX34" s="60"/>
      <c r="BY34" s="142" t="s">
        <v>644</v>
      </c>
      <c r="BZ34" s="60"/>
      <c r="CB34" s="464">
        <v>854</v>
      </c>
      <c r="CC34" s="465" t="s">
        <v>209</v>
      </c>
      <c r="CD34" s="464">
        <v>204924.59375</v>
      </c>
      <c r="CE34" s="464">
        <v>12500</v>
      </c>
      <c r="CF34" s="464">
        <v>0</v>
      </c>
      <c r="CG34" s="464">
        <v>12500</v>
      </c>
    </row>
    <row r="35" spans="3:85" ht="18" customHeight="1">
      <c r="C35" s="544"/>
      <c r="D35" s="665"/>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7"/>
      <c r="AP35" s="310">
        <v>5</v>
      </c>
      <c r="AQ35" s="315" t="s">
        <v>543</v>
      </c>
      <c r="AR35" s="60" t="s">
        <v>169</v>
      </c>
      <c r="AS35" s="328" t="str">
        <f>IF(ISBLANK(F12),"N/A",F12)</f>
        <v>N/A</v>
      </c>
      <c r="AT35" s="60"/>
      <c r="AU35" s="142" t="s">
        <v>644</v>
      </c>
      <c r="AV35" s="60"/>
      <c r="AW35" s="142" t="s">
        <v>644</v>
      </c>
      <c r="AX35" s="60"/>
      <c r="AY35" s="142" t="s">
        <v>644</v>
      </c>
      <c r="AZ35" s="60"/>
      <c r="BA35" s="142" t="s">
        <v>644</v>
      </c>
      <c r="BB35" s="60"/>
      <c r="BC35" s="142" t="s">
        <v>644</v>
      </c>
      <c r="BD35" s="60"/>
      <c r="BE35" s="142" t="s">
        <v>644</v>
      </c>
      <c r="BF35" s="60"/>
      <c r="BG35" s="142" t="s">
        <v>644</v>
      </c>
      <c r="BH35" s="60"/>
      <c r="BI35" s="142" t="s">
        <v>644</v>
      </c>
      <c r="BJ35" s="60"/>
      <c r="BK35" s="142" t="s">
        <v>644</v>
      </c>
      <c r="BL35" s="60"/>
      <c r="BM35" s="142" t="s">
        <v>644</v>
      </c>
      <c r="BN35" s="60"/>
      <c r="BO35" s="142" t="s">
        <v>644</v>
      </c>
      <c r="BP35" s="60"/>
      <c r="BQ35" s="142" t="s">
        <v>644</v>
      </c>
      <c r="BR35" s="60"/>
      <c r="BS35" s="142" t="s">
        <v>644</v>
      </c>
      <c r="BT35" s="60"/>
      <c r="BU35" s="142" t="s">
        <v>644</v>
      </c>
      <c r="BV35" s="60"/>
      <c r="BW35" s="142" t="s">
        <v>644</v>
      </c>
      <c r="BX35" s="60"/>
      <c r="BY35" s="142" t="s">
        <v>644</v>
      </c>
      <c r="BZ35" s="60"/>
      <c r="CB35" s="464">
        <v>108</v>
      </c>
      <c r="CC35" s="465" t="s">
        <v>210</v>
      </c>
      <c r="CD35" s="464">
        <v>33902.51171875</v>
      </c>
      <c r="CE35" s="464">
        <v>3600</v>
      </c>
      <c r="CF35" s="464">
        <v>0</v>
      </c>
      <c r="CG35" s="464">
        <v>3600</v>
      </c>
    </row>
    <row r="36" spans="3:85" ht="18" customHeight="1">
      <c r="C36" s="544"/>
      <c r="D36" s="665"/>
      <c r="E36" s="666"/>
      <c r="F36" s="666"/>
      <c r="G36" s="666"/>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7"/>
      <c r="AP36" s="466">
        <v>12</v>
      </c>
      <c r="AQ36" s="467" t="s">
        <v>613</v>
      </c>
      <c r="AR36" s="60" t="s">
        <v>169</v>
      </c>
      <c r="AS36" s="60" t="e">
        <f>VLOOKUP(B3,CB7:CG198,6,FALSE)</f>
        <v>#N/A</v>
      </c>
      <c r="AT36" s="60"/>
      <c r="AU36" s="142" t="s">
        <v>644</v>
      </c>
      <c r="AV36" s="60"/>
      <c r="AW36" s="142" t="s">
        <v>644</v>
      </c>
      <c r="AX36" s="60"/>
      <c r="AY36" s="142" t="s">
        <v>644</v>
      </c>
      <c r="AZ36" s="60"/>
      <c r="BA36" s="142" t="s">
        <v>644</v>
      </c>
      <c r="BB36" s="60"/>
      <c r="BC36" s="142" t="s">
        <v>644</v>
      </c>
      <c r="BD36" s="60"/>
      <c r="BE36" s="142" t="s">
        <v>644</v>
      </c>
      <c r="BF36" s="60"/>
      <c r="BG36" s="142" t="s">
        <v>644</v>
      </c>
      <c r="BH36" s="60"/>
      <c r="BI36" s="142" t="s">
        <v>644</v>
      </c>
      <c r="BJ36" s="60"/>
      <c r="BK36" s="142" t="s">
        <v>644</v>
      </c>
      <c r="BL36" s="60"/>
      <c r="BM36" s="142" t="s">
        <v>644</v>
      </c>
      <c r="BN36" s="60"/>
      <c r="BO36" s="142" t="s">
        <v>644</v>
      </c>
      <c r="BP36" s="60"/>
      <c r="BQ36" s="142" t="s">
        <v>644</v>
      </c>
      <c r="BR36" s="60"/>
      <c r="BS36" s="142" t="s">
        <v>644</v>
      </c>
      <c r="BT36" s="60"/>
      <c r="BU36" s="142" t="s">
        <v>644</v>
      </c>
      <c r="BV36" s="60"/>
      <c r="BW36" s="142" t="s">
        <v>644</v>
      </c>
      <c r="BX36" s="60"/>
      <c r="BY36" s="142" t="s">
        <v>644</v>
      </c>
      <c r="BZ36" s="60"/>
      <c r="CB36" s="464">
        <v>116</v>
      </c>
      <c r="CC36" s="465" t="s">
        <v>211</v>
      </c>
      <c r="CD36" s="464">
        <v>344627.75</v>
      </c>
      <c r="CE36" s="464">
        <v>120570</v>
      </c>
      <c r="CF36" s="464">
        <v>355540</v>
      </c>
      <c r="CG36" s="464">
        <v>476110</v>
      </c>
    </row>
    <row r="37" spans="3:85" ht="18" customHeight="1">
      <c r="C37" s="544"/>
      <c r="D37" s="665"/>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7"/>
      <c r="AP37" s="483" t="s">
        <v>677</v>
      </c>
      <c r="AQ37" s="477" t="s">
        <v>587</v>
      </c>
      <c r="AR37" s="316" t="s">
        <v>169</v>
      </c>
      <c r="AS37" s="316" t="e">
        <f>ABS(AS35-AS36)</f>
        <v>#VALUE!</v>
      </c>
      <c r="AT37" s="316"/>
      <c r="AU37" s="318" t="s">
        <v>644</v>
      </c>
      <c r="AV37" s="316"/>
      <c r="AW37" s="318" t="s">
        <v>644</v>
      </c>
      <c r="AX37" s="316"/>
      <c r="AY37" s="318" t="s">
        <v>644</v>
      </c>
      <c r="AZ37" s="316"/>
      <c r="BA37" s="318" t="s">
        <v>644</v>
      </c>
      <c r="BB37" s="316"/>
      <c r="BC37" s="318" t="s">
        <v>644</v>
      </c>
      <c r="BD37" s="316"/>
      <c r="BE37" s="318" t="s">
        <v>644</v>
      </c>
      <c r="BF37" s="316"/>
      <c r="BG37" s="318" t="s">
        <v>644</v>
      </c>
      <c r="BH37" s="316"/>
      <c r="BI37" s="318" t="s">
        <v>644</v>
      </c>
      <c r="BJ37" s="316"/>
      <c r="BK37" s="318" t="s">
        <v>644</v>
      </c>
      <c r="BL37" s="316"/>
      <c r="BM37" s="318" t="s">
        <v>644</v>
      </c>
      <c r="BN37" s="316"/>
      <c r="BO37" s="318" t="s">
        <v>644</v>
      </c>
      <c r="BP37" s="316"/>
      <c r="BQ37" s="318" t="s">
        <v>644</v>
      </c>
      <c r="BR37" s="316"/>
      <c r="BS37" s="318" t="s">
        <v>644</v>
      </c>
      <c r="BT37" s="316"/>
      <c r="BU37" s="318" t="s">
        <v>644</v>
      </c>
      <c r="BV37" s="316"/>
      <c r="BW37" s="318" t="s">
        <v>644</v>
      </c>
      <c r="BX37" s="316"/>
      <c r="BY37" s="318" t="s">
        <v>644</v>
      </c>
      <c r="BZ37" s="316"/>
      <c r="CB37" s="464">
        <v>120</v>
      </c>
      <c r="CC37" s="465" t="s">
        <v>212</v>
      </c>
      <c r="CD37" s="464">
        <v>762463.125</v>
      </c>
      <c r="CE37" s="464">
        <v>273000</v>
      </c>
      <c r="CF37" s="464">
        <v>12500</v>
      </c>
      <c r="CG37" s="464">
        <v>285500</v>
      </c>
    </row>
    <row r="38" spans="3:85" ht="18" customHeight="1">
      <c r="C38" s="544"/>
      <c r="D38" s="665"/>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7"/>
      <c r="AP38" s="449" t="s">
        <v>616</v>
      </c>
      <c r="AQ38" s="478" t="s">
        <v>617</v>
      </c>
      <c r="AR38" s="479"/>
      <c r="CB38" s="464">
        <v>124</v>
      </c>
      <c r="CC38" s="465" t="s">
        <v>213</v>
      </c>
      <c r="CD38" s="464">
        <v>5352223.5</v>
      </c>
      <c r="CE38" s="464">
        <v>2850000</v>
      </c>
      <c r="CF38" s="464">
        <v>52000</v>
      </c>
      <c r="CG38" s="464">
        <v>2902000</v>
      </c>
    </row>
    <row r="39" spans="3:85" ht="18" customHeight="1">
      <c r="C39" s="544"/>
      <c r="D39" s="665"/>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7"/>
      <c r="AP39" s="449" t="s">
        <v>618</v>
      </c>
      <c r="AQ39" s="478" t="s">
        <v>619</v>
      </c>
      <c r="AR39" s="479"/>
      <c r="CB39" s="464">
        <v>132</v>
      </c>
      <c r="CC39" s="465" t="s">
        <v>214</v>
      </c>
      <c r="CD39" s="464">
        <v>900</v>
      </c>
      <c r="CE39" s="464">
        <v>300</v>
      </c>
      <c r="CF39" s="464">
        <v>0</v>
      </c>
      <c r="CG39" s="464">
        <v>300</v>
      </c>
    </row>
    <row r="40" spans="3:85" ht="18" customHeight="1">
      <c r="C40" s="544"/>
      <c r="D40" s="665"/>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7"/>
      <c r="AP40" s="449" t="s">
        <v>621</v>
      </c>
      <c r="AQ40" s="478" t="s">
        <v>623</v>
      </c>
      <c r="AR40" s="479"/>
      <c r="CB40" s="464">
        <v>140</v>
      </c>
      <c r="CC40" s="465" t="s">
        <v>215</v>
      </c>
      <c r="CD40" s="464">
        <v>836662.125</v>
      </c>
      <c r="CE40" s="464">
        <v>141000</v>
      </c>
      <c r="CF40" s="464">
        <v>3400</v>
      </c>
      <c r="CG40" s="464">
        <v>144400</v>
      </c>
    </row>
    <row r="41" spans="3:85" ht="18.75" customHeight="1">
      <c r="C41" s="544"/>
      <c r="D41" s="665"/>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7"/>
      <c r="AP41" s="451" t="s">
        <v>620</v>
      </c>
      <c r="AQ41" s="478" t="s">
        <v>533</v>
      </c>
      <c r="AR41" s="479"/>
      <c r="CB41" s="464">
        <v>148</v>
      </c>
      <c r="CC41" s="465" t="s">
        <v>216</v>
      </c>
      <c r="CD41" s="464">
        <v>413191.1875</v>
      </c>
      <c r="CE41" s="464">
        <v>15000</v>
      </c>
      <c r="CF41" s="464">
        <v>28000</v>
      </c>
      <c r="CG41" s="464">
        <v>43000</v>
      </c>
    </row>
    <row r="42" spans="3:85" ht="18" customHeight="1">
      <c r="C42" s="544"/>
      <c r="D42" s="665"/>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6"/>
      <c r="AG42" s="666"/>
      <c r="AH42" s="666"/>
      <c r="AI42" s="666"/>
      <c r="AJ42" s="666"/>
      <c r="AK42" s="666"/>
      <c r="AL42" s="666"/>
      <c r="AM42" s="666"/>
      <c r="AN42" s="667"/>
      <c r="AP42" s="451" t="s">
        <v>622</v>
      </c>
      <c r="AQ42" s="478" t="s">
        <v>624</v>
      </c>
      <c r="AR42" s="479"/>
      <c r="CB42" s="464">
        <v>152</v>
      </c>
      <c r="CC42" s="465" t="s">
        <v>217</v>
      </c>
      <c r="CD42" s="464">
        <v>1151600</v>
      </c>
      <c r="CE42" s="464">
        <v>884000</v>
      </c>
      <c r="CF42" s="464">
        <v>38000</v>
      </c>
      <c r="CG42" s="464">
        <v>922000</v>
      </c>
    </row>
    <row r="43" spans="3:85" ht="18" customHeight="1">
      <c r="C43" s="544"/>
      <c r="D43" s="665"/>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6"/>
      <c r="AL43" s="666"/>
      <c r="AM43" s="666"/>
      <c r="AN43" s="667"/>
      <c r="AP43" s="479"/>
      <c r="AQ43" s="479"/>
      <c r="AR43" s="479"/>
      <c r="CB43" s="464">
        <v>156</v>
      </c>
      <c r="CC43" s="465" t="s">
        <v>218</v>
      </c>
      <c r="CD43" s="464">
        <v>6017977.5</v>
      </c>
      <c r="CE43" s="464">
        <v>2879400</v>
      </c>
      <c r="CF43" s="464">
        <v>17169</v>
      </c>
      <c r="CG43" s="464">
        <v>2896569</v>
      </c>
    </row>
    <row r="44" spans="3:85" ht="18.75" customHeight="1">
      <c r="C44" s="544"/>
      <c r="D44" s="665"/>
      <c r="E44" s="666"/>
      <c r="F44" s="666"/>
      <c r="G44" s="666"/>
      <c r="H44" s="666"/>
      <c r="I44" s="666"/>
      <c r="J44" s="666"/>
      <c r="K44" s="666"/>
      <c r="L44" s="666"/>
      <c r="M44" s="666"/>
      <c r="N44" s="666"/>
      <c r="O44" s="666"/>
      <c r="P44" s="666"/>
      <c r="Q44" s="666"/>
      <c r="R44" s="666"/>
      <c r="S44" s="666"/>
      <c r="T44" s="666"/>
      <c r="U44" s="666"/>
      <c r="V44" s="666"/>
      <c r="W44" s="666"/>
      <c r="X44" s="666"/>
      <c r="Y44" s="666"/>
      <c r="Z44" s="666"/>
      <c r="AA44" s="666"/>
      <c r="AB44" s="666"/>
      <c r="AC44" s="666"/>
      <c r="AD44" s="666"/>
      <c r="AE44" s="666"/>
      <c r="AF44" s="666"/>
      <c r="AG44" s="666"/>
      <c r="AH44" s="666"/>
      <c r="AI44" s="666"/>
      <c r="AJ44" s="666"/>
      <c r="AK44" s="666"/>
      <c r="AL44" s="666"/>
      <c r="AM44" s="666"/>
      <c r="AN44" s="667"/>
      <c r="CB44" s="464">
        <v>344</v>
      </c>
      <c r="CC44" s="465" t="s">
        <v>219</v>
      </c>
      <c r="CD44" s="464">
        <v>2396.800048828125</v>
      </c>
      <c r="CE44" s="464" t="s">
        <v>616</v>
      </c>
      <c r="CF44" s="464" t="s">
        <v>616</v>
      </c>
      <c r="CG44" s="464" t="s">
        <v>616</v>
      </c>
    </row>
    <row r="45" spans="3:85" ht="20.25" customHeight="1">
      <c r="C45" s="544"/>
      <c r="D45" s="665"/>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c r="AI45" s="666"/>
      <c r="AJ45" s="666"/>
      <c r="AK45" s="666"/>
      <c r="AL45" s="666"/>
      <c r="AM45" s="666"/>
      <c r="AN45" s="667"/>
      <c r="CB45" s="464">
        <v>446</v>
      </c>
      <c r="CC45" s="465" t="s">
        <v>220</v>
      </c>
      <c r="CD45" s="464">
        <v>44.380001068115234</v>
      </c>
      <c r="CE45" s="464" t="s">
        <v>616</v>
      </c>
      <c r="CF45" s="464" t="s">
        <v>616</v>
      </c>
      <c r="CG45" s="464" t="s">
        <v>616</v>
      </c>
    </row>
    <row r="46" spans="3:85" ht="18" customHeight="1">
      <c r="C46" s="544"/>
      <c r="D46" s="665"/>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7"/>
      <c r="CB46" s="464">
        <v>170</v>
      </c>
      <c r="CC46" s="465" t="s">
        <v>221</v>
      </c>
      <c r="CD46" s="464">
        <v>2974605.25</v>
      </c>
      <c r="CE46" s="464">
        <v>2112000</v>
      </c>
      <c r="CF46" s="464">
        <v>20000</v>
      </c>
      <c r="CG46" s="464">
        <v>2132000</v>
      </c>
    </row>
    <row r="47" spans="3:85" ht="18" customHeight="1">
      <c r="C47" s="544"/>
      <c r="D47" s="665"/>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7"/>
      <c r="CB47" s="464">
        <v>174</v>
      </c>
      <c r="CC47" s="465" t="s">
        <v>222</v>
      </c>
      <c r="CD47" s="464">
        <v>2000</v>
      </c>
      <c r="CE47" s="464">
        <v>1200</v>
      </c>
      <c r="CF47" s="464">
        <v>0</v>
      </c>
      <c r="CG47" s="464">
        <v>1200</v>
      </c>
    </row>
    <row r="48" spans="3:85" ht="18" customHeight="1">
      <c r="C48" s="544"/>
      <c r="D48" s="665"/>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7"/>
      <c r="CB48" s="464">
        <v>178</v>
      </c>
      <c r="CC48" s="465" t="s">
        <v>223</v>
      </c>
      <c r="CD48" s="464">
        <v>562932</v>
      </c>
      <c r="CE48" s="464">
        <v>222000</v>
      </c>
      <c r="CF48" s="464">
        <v>610000</v>
      </c>
      <c r="CG48" s="464">
        <v>832000</v>
      </c>
    </row>
    <row r="49" spans="3:85" ht="18.75" customHeight="1">
      <c r="C49" s="544"/>
      <c r="D49" s="665"/>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66"/>
      <c r="AM49" s="666"/>
      <c r="AN49" s="667"/>
      <c r="CB49" s="464">
        <v>188</v>
      </c>
      <c r="CC49" s="465" t="s">
        <v>224</v>
      </c>
      <c r="CD49" s="464">
        <v>149528.8125</v>
      </c>
      <c r="CE49" s="464">
        <v>112400</v>
      </c>
      <c r="CF49" s="464">
        <v>0</v>
      </c>
      <c r="CG49" s="464">
        <v>112400</v>
      </c>
    </row>
    <row r="50" spans="3:85" ht="18" customHeight="1">
      <c r="C50" s="544"/>
      <c r="D50" s="665"/>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L50" s="666"/>
      <c r="AM50" s="666"/>
      <c r="AN50" s="667"/>
      <c r="CB50" s="464">
        <v>384</v>
      </c>
      <c r="CC50" s="465" t="s">
        <v>225</v>
      </c>
      <c r="CD50" s="464">
        <v>434676.09375</v>
      </c>
      <c r="CE50" s="464">
        <v>76700</v>
      </c>
      <c r="CF50" s="464">
        <v>4300</v>
      </c>
      <c r="CG50" s="464">
        <v>81000</v>
      </c>
    </row>
    <row r="51" spans="3:85" ht="18" customHeight="1">
      <c r="C51" s="544"/>
      <c r="D51" s="665"/>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6"/>
      <c r="AL51" s="666"/>
      <c r="AM51" s="666"/>
      <c r="AN51" s="667"/>
      <c r="CB51" s="464">
        <v>191</v>
      </c>
      <c r="CC51" s="465" t="s">
        <v>226</v>
      </c>
      <c r="CD51" s="464">
        <v>62912.05859375</v>
      </c>
      <c r="CE51" s="464">
        <v>37700</v>
      </c>
      <c r="CF51" s="464">
        <v>67800</v>
      </c>
      <c r="CG51" s="464">
        <v>105500</v>
      </c>
    </row>
    <row r="52" spans="3:85" ht="18" customHeight="1">
      <c r="C52" s="545"/>
      <c r="D52" s="676"/>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8"/>
      <c r="CB52" s="464">
        <v>192</v>
      </c>
      <c r="CC52" s="465" t="s">
        <v>227</v>
      </c>
      <c r="CD52" s="464">
        <v>147964.84375</v>
      </c>
      <c r="CE52" s="464">
        <v>38120</v>
      </c>
      <c r="CF52" s="464">
        <v>0</v>
      </c>
      <c r="CG52" s="464">
        <v>38120</v>
      </c>
    </row>
    <row r="53" spans="3:85" ht="16.5" customHeight="1">
      <c r="C53" s="674"/>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I53" s="675"/>
      <c r="CB53" s="464">
        <v>196</v>
      </c>
      <c r="CC53" s="465" t="s">
        <v>228</v>
      </c>
      <c r="CD53" s="464">
        <v>4601.8798828125</v>
      </c>
      <c r="CE53" s="464">
        <v>780</v>
      </c>
      <c r="CF53" s="464">
        <v>0</v>
      </c>
      <c r="CG53" s="464">
        <v>780</v>
      </c>
    </row>
    <row r="54" spans="3:85" ht="12.75">
      <c r="C54" s="675"/>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5"/>
      <c r="CB54" s="464">
        <v>203</v>
      </c>
      <c r="CC54" s="465" t="s">
        <v>229</v>
      </c>
      <c r="CD54" s="464">
        <v>53387.1015625</v>
      </c>
      <c r="CE54" s="464">
        <v>13150</v>
      </c>
      <c r="CF54" s="464">
        <v>0</v>
      </c>
      <c r="CG54" s="464">
        <v>13150</v>
      </c>
    </row>
    <row r="55" spans="80:85" ht="25.5">
      <c r="CB55" s="464">
        <v>180</v>
      </c>
      <c r="CC55" s="465" t="s">
        <v>230</v>
      </c>
      <c r="CD55" s="464">
        <v>3618119</v>
      </c>
      <c r="CE55" s="464">
        <v>900000</v>
      </c>
      <c r="CF55" s="464">
        <v>383000</v>
      </c>
      <c r="CG55" s="464">
        <v>1283000</v>
      </c>
    </row>
    <row r="56" spans="80:85" ht="12.75">
      <c r="CB56" s="464">
        <v>208</v>
      </c>
      <c r="CC56" s="465" t="s">
        <v>231</v>
      </c>
      <c r="CD56" s="464">
        <v>30305.19921875</v>
      </c>
      <c r="CE56" s="464">
        <v>6000</v>
      </c>
      <c r="CF56" s="464">
        <v>0</v>
      </c>
      <c r="CG56" s="464">
        <v>6000</v>
      </c>
    </row>
    <row r="57" spans="80:85" ht="12.75">
      <c r="CB57" s="464">
        <v>262</v>
      </c>
      <c r="CC57" s="465" t="s">
        <v>232</v>
      </c>
      <c r="CD57" s="464">
        <v>5100</v>
      </c>
      <c r="CE57" s="464">
        <v>300</v>
      </c>
      <c r="CF57" s="464">
        <v>0</v>
      </c>
      <c r="CG57" s="464">
        <v>300</v>
      </c>
    </row>
    <row r="58" spans="80:85" ht="12.75">
      <c r="CB58" s="464">
        <v>212</v>
      </c>
      <c r="CC58" s="465" t="s">
        <v>233</v>
      </c>
      <c r="CD58" s="464">
        <v>2576.699951171875</v>
      </c>
      <c r="CE58" s="464" t="s">
        <v>616</v>
      </c>
      <c r="CF58" s="464" t="s">
        <v>616</v>
      </c>
      <c r="CG58" s="464" t="s">
        <v>616</v>
      </c>
    </row>
    <row r="59" spans="80:85" ht="12.75">
      <c r="CB59" s="464">
        <v>214</v>
      </c>
      <c r="CC59" s="465" t="s">
        <v>234</v>
      </c>
      <c r="CD59" s="464">
        <v>68689.8125</v>
      </c>
      <c r="CE59" s="464">
        <v>20995</v>
      </c>
      <c r="CF59" s="464">
        <v>0</v>
      </c>
      <c r="CG59" s="464">
        <v>20995</v>
      </c>
    </row>
    <row r="60" spans="80:85" ht="12.75">
      <c r="CB60" s="464">
        <v>218</v>
      </c>
      <c r="CC60" s="465" t="s">
        <v>235</v>
      </c>
      <c r="CD60" s="464">
        <v>591846.4375</v>
      </c>
      <c r="CE60" s="464">
        <v>432000</v>
      </c>
      <c r="CF60" s="464">
        <v>0</v>
      </c>
      <c r="CG60" s="464">
        <v>432000</v>
      </c>
    </row>
    <row r="61" spans="80:85" ht="12.75">
      <c r="CB61" s="464">
        <v>818</v>
      </c>
      <c r="CC61" s="465" t="s">
        <v>236</v>
      </c>
      <c r="CD61" s="464">
        <v>51400</v>
      </c>
      <c r="CE61" s="464">
        <v>1800</v>
      </c>
      <c r="CF61" s="464">
        <v>85000</v>
      </c>
      <c r="CG61" s="464">
        <v>86800</v>
      </c>
    </row>
    <row r="62" spans="80:85" ht="12.75">
      <c r="CB62" s="464">
        <v>222</v>
      </c>
      <c r="CC62" s="465" t="s">
        <v>237</v>
      </c>
      <c r="CD62" s="464">
        <v>36264.5390625</v>
      </c>
      <c r="CE62" s="464">
        <v>17750</v>
      </c>
      <c r="CF62" s="464">
        <v>7480</v>
      </c>
      <c r="CG62" s="464">
        <v>25230</v>
      </c>
    </row>
    <row r="63" spans="80:85" ht="12.75">
      <c r="CB63" s="464">
        <v>226</v>
      </c>
      <c r="CC63" s="465" t="s">
        <v>238</v>
      </c>
      <c r="CD63" s="464">
        <v>60481.41015625</v>
      </c>
      <c r="CE63" s="464">
        <v>26000</v>
      </c>
      <c r="CF63" s="464">
        <v>0</v>
      </c>
      <c r="CG63" s="464">
        <v>26000</v>
      </c>
    </row>
    <row r="64" spans="80:85" ht="12.75">
      <c r="CB64" s="464">
        <v>232</v>
      </c>
      <c r="CC64" s="465" t="s">
        <v>239</v>
      </c>
      <c r="CD64" s="464">
        <v>45146.640625</v>
      </c>
      <c r="CE64" s="464">
        <v>2800</v>
      </c>
      <c r="CF64" s="464">
        <v>3500</v>
      </c>
      <c r="CG64" s="464">
        <v>6300</v>
      </c>
    </row>
    <row r="65" spans="80:85" ht="12.75">
      <c r="CB65" s="464">
        <v>233</v>
      </c>
      <c r="CC65" s="465" t="s">
        <v>240</v>
      </c>
      <c r="CD65" s="464">
        <v>28214.560546875</v>
      </c>
      <c r="CE65" s="464">
        <v>12712</v>
      </c>
      <c r="CF65" s="464">
        <v>96</v>
      </c>
      <c r="CG65" s="464">
        <v>12808</v>
      </c>
    </row>
    <row r="66" spans="80:85" ht="12.75">
      <c r="CB66" s="464">
        <v>231</v>
      </c>
      <c r="CC66" s="465" t="s">
        <v>241</v>
      </c>
      <c r="CD66" s="464">
        <v>936004.6875</v>
      </c>
      <c r="CE66" s="464">
        <v>110000</v>
      </c>
      <c r="CF66" s="464">
        <v>0</v>
      </c>
      <c r="CG66" s="464">
        <v>110000</v>
      </c>
    </row>
    <row r="67" spans="80:85" ht="12.75">
      <c r="CB67" s="464">
        <v>242</v>
      </c>
      <c r="CC67" s="465" t="s">
        <v>242</v>
      </c>
      <c r="CD67" s="464">
        <v>47355.83984375</v>
      </c>
      <c r="CE67" s="464">
        <v>28550</v>
      </c>
      <c r="CF67" s="464">
        <v>0</v>
      </c>
      <c r="CG67" s="464">
        <v>28550</v>
      </c>
    </row>
    <row r="68" spans="80:85" ht="12.75">
      <c r="CB68" s="464">
        <v>246</v>
      </c>
      <c r="CC68" s="465" t="s">
        <v>243</v>
      </c>
      <c r="CD68" s="464">
        <v>181417.484375</v>
      </c>
      <c r="CE68" s="464">
        <v>107000</v>
      </c>
      <c r="CF68" s="464">
        <v>3000</v>
      </c>
      <c r="CG68" s="464">
        <v>110000</v>
      </c>
    </row>
    <row r="69" spans="80:85" ht="12.75">
      <c r="CB69" s="464">
        <v>250</v>
      </c>
      <c r="CC69" s="465" t="s">
        <v>244</v>
      </c>
      <c r="CD69" s="464">
        <v>477985.0625</v>
      </c>
      <c r="CE69" s="464">
        <v>178500</v>
      </c>
      <c r="CF69" s="464">
        <v>25200</v>
      </c>
      <c r="CG69" s="464">
        <v>203700</v>
      </c>
    </row>
    <row r="70" spans="80:85" ht="12.75">
      <c r="CB70" s="464">
        <v>254</v>
      </c>
      <c r="CC70" s="465" t="s">
        <v>245</v>
      </c>
      <c r="CD70" s="464">
        <v>260550</v>
      </c>
      <c r="CE70" s="464">
        <v>134000</v>
      </c>
      <c r="CF70" s="464">
        <v>0</v>
      </c>
      <c r="CG70" s="464">
        <v>134000</v>
      </c>
    </row>
    <row r="71" spans="80:85" ht="12.75">
      <c r="CB71" s="464">
        <v>266</v>
      </c>
      <c r="CC71" s="465" t="s">
        <v>246</v>
      </c>
      <c r="CD71" s="464">
        <v>489996.6875</v>
      </c>
      <c r="CE71" s="464">
        <v>164000</v>
      </c>
      <c r="CF71" s="464">
        <v>0</v>
      </c>
      <c r="CG71" s="464">
        <v>164000</v>
      </c>
    </row>
    <row r="72" spans="80:85" ht="12.75">
      <c r="CB72" s="464">
        <v>270</v>
      </c>
      <c r="CC72" s="465" t="s">
        <v>247</v>
      </c>
      <c r="CD72" s="464">
        <v>9451.3203125</v>
      </c>
      <c r="CE72" s="464">
        <v>3000</v>
      </c>
      <c r="CF72" s="464">
        <v>5000</v>
      </c>
      <c r="CG72" s="464">
        <v>8000</v>
      </c>
    </row>
    <row r="73" spans="80:85" ht="12.75">
      <c r="CB73" s="464">
        <v>268</v>
      </c>
      <c r="CC73" s="465" t="s">
        <v>248</v>
      </c>
      <c r="CD73" s="464">
        <v>71526.140625</v>
      </c>
      <c r="CE73" s="464">
        <v>58130</v>
      </c>
      <c r="CF73" s="464">
        <v>5200</v>
      </c>
      <c r="CG73" s="464">
        <v>63330</v>
      </c>
    </row>
    <row r="74" spans="80:85" ht="12.75">
      <c r="CB74" s="464">
        <v>276</v>
      </c>
      <c r="CC74" s="465" t="s">
        <v>249</v>
      </c>
      <c r="CD74" s="464">
        <v>249956.703125</v>
      </c>
      <c r="CE74" s="464">
        <v>107000</v>
      </c>
      <c r="CF74" s="464">
        <v>47000</v>
      </c>
      <c r="CG74" s="464">
        <v>154000</v>
      </c>
    </row>
    <row r="75" spans="80:85" ht="12.75">
      <c r="CB75" s="464">
        <v>288</v>
      </c>
      <c r="CC75" s="465" t="s">
        <v>250</v>
      </c>
      <c r="CD75" s="464">
        <v>283194.6875</v>
      </c>
      <c r="CE75" s="464">
        <v>30300</v>
      </c>
      <c r="CF75" s="464">
        <v>22900</v>
      </c>
      <c r="CG75" s="464">
        <v>53200</v>
      </c>
    </row>
    <row r="76" spans="80:85" ht="12.75">
      <c r="CB76" s="464">
        <v>300</v>
      </c>
      <c r="CC76" s="465" t="s">
        <v>251</v>
      </c>
      <c r="CD76" s="464">
        <v>86077.5078125</v>
      </c>
      <c r="CE76" s="464">
        <v>58000</v>
      </c>
      <c r="CF76" s="464">
        <v>16250</v>
      </c>
      <c r="CG76" s="464">
        <v>74250</v>
      </c>
    </row>
    <row r="77" spans="80:85" ht="12.75">
      <c r="CB77" s="464">
        <v>304</v>
      </c>
      <c r="CC77" s="465" t="s">
        <v>252</v>
      </c>
      <c r="CD77" s="464">
        <v>759000</v>
      </c>
      <c r="CE77" s="464">
        <v>603000</v>
      </c>
      <c r="CF77" s="464">
        <v>0</v>
      </c>
      <c r="CG77" s="464">
        <v>603000</v>
      </c>
    </row>
    <row r="78" spans="80:85" ht="12.75">
      <c r="CB78" s="464">
        <v>308</v>
      </c>
      <c r="CC78" s="465" t="s">
        <v>253</v>
      </c>
      <c r="CD78" s="464">
        <v>521.8699951171875</v>
      </c>
      <c r="CE78" s="464" t="s">
        <v>616</v>
      </c>
      <c r="CF78" s="464" t="s">
        <v>616</v>
      </c>
      <c r="CG78" s="464" t="s">
        <v>616</v>
      </c>
    </row>
    <row r="79" spans="80:85" ht="12.75">
      <c r="CB79" s="464">
        <v>312</v>
      </c>
      <c r="CC79" s="465" t="s">
        <v>254</v>
      </c>
      <c r="CD79" s="464">
        <v>422.3699951171875</v>
      </c>
      <c r="CE79" s="464" t="s">
        <v>616</v>
      </c>
      <c r="CF79" s="464" t="s">
        <v>616</v>
      </c>
      <c r="CG79" s="464" t="s">
        <v>616</v>
      </c>
    </row>
    <row r="80" spans="80:85" ht="12.75">
      <c r="CB80" s="464">
        <v>320</v>
      </c>
      <c r="CC80" s="465" t="s">
        <v>255</v>
      </c>
      <c r="CD80" s="464">
        <v>217300</v>
      </c>
      <c r="CE80" s="464">
        <v>109200</v>
      </c>
      <c r="CF80" s="464">
        <v>2070</v>
      </c>
      <c r="CG80" s="464">
        <v>111270</v>
      </c>
    </row>
    <row r="81" spans="80:85" ht="12.75">
      <c r="CB81" s="464">
        <v>324</v>
      </c>
      <c r="CC81" s="465" t="s">
        <v>256</v>
      </c>
      <c r="CD81" s="464">
        <v>405939.4375</v>
      </c>
      <c r="CE81" s="464">
        <v>226000</v>
      </c>
      <c r="CF81" s="464">
        <v>0</v>
      </c>
      <c r="CG81" s="464">
        <v>226000</v>
      </c>
    </row>
    <row r="82" spans="80:85" ht="12.75">
      <c r="CB82" s="464">
        <v>624</v>
      </c>
      <c r="CC82" s="465" t="s">
        <v>257</v>
      </c>
      <c r="CD82" s="464">
        <v>56972.078125</v>
      </c>
      <c r="CE82" s="464">
        <v>16000</v>
      </c>
      <c r="CF82" s="464">
        <v>15000</v>
      </c>
      <c r="CG82" s="464">
        <v>31000</v>
      </c>
    </row>
    <row r="83" spans="80:85" ht="12.75">
      <c r="CB83" s="464">
        <v>328</v>
      </c>
      <c r="CC83" s="465" t="s">
        <v>374</v>
      </c>
      <c r="CD83" s="464">
        <v>513111.875</v>
      </c>
      <c r="CE83" s="464">
        <v>241000</v>
      </c>
      <c r="CF83" s="464">
        <v>0</v>
      </c>
      <c r="CG83" s="464">
        <v>241000</v>
      </c>
    </row>
    <row r="84" spans="80:85" ht="12.75">
      <c r="CB84" s="464">
        <v>332</v>
      </c>
      <c r="CC84" s="465" t="s">
        <v>375</v>
      </c>
      <c r="CD84" s="464">
        <v>39965.55078125</v>
      </c>
      <c r="CE84" s="464">
        <v>13010</v>
      </c>
      <c r="CF84" s="464">
        <v>1015</v>
      </c>
      <c r="CG84" s="464">
        <v>14025</v>
      </c>
    </row>
    <row r="85" spans="80:85" ht="12.75">
      <c r="CB85" s="464">
        <v>340</v>
      </c>
      <c r="CC85" s="465" t="s">
        <v>376</v>
      </c>
      <c r="CD85" s="464">
        <v>221433.796875</v>
      </c>
      <c r="CE85" s="464">
        <v>95929</v>
      </c>
      <c r="CF85" s="464">
        <v>0</v>
      </c>
      <c r="CG85" s="464">
        <v>95929</v>
      </c>
    </row>
    <row r="86" spans="80:85" ht="12.75">
      <c r="CB86" s="464">
        <v>348</v>
      </c>
      <c r="CC86" s="465" t="s">
        <v>377</v>
      </c>
      <c r="CD86" s="464">
        <v>54803.96875</v>
      </c>
      <c r="CE86" s="464">
        <v>6000</v>
      </c>
      <c r="CF86" s="464">
        <v>98000</v>
      </c>
      <c r="CG86" s="464">
        <v>104000</v>
      </c>
    </row>
    <row r="87" spans="80:85" ht="12.75">
      <c r="CB87" s="464">
        <v>352</v>
      </c>
      <c r="CC87" s="465" t="s">
        <v>378</v>
      </c>
      <c r="CD87" s="464">
        <v>199800</v>
      </c>
      <c r="CE87" s="464">
        <v>170000</v>
      </c>
      <c r="CF87" s="464">
        <v>0</v>
      </c>
      <c r="CG87" s="464">
        <v>170000</v>
      </c>
    </row>
    <row r="88" spans="80:85" ht="12.75">
      <c r="CB88" s="464">
        <v>356</v>
      </c>
      <c r="CC88" s="465" t="s">
        <v>379</v>
      </c>
      <c r="CD88" s="464">
        <v>3558787.75</v>
      </c>
      <c r="CE88" s="464">
        <v>1260540</v>
      </c>
      <c r="CF88" s="464">
        <v>647220</v>
      </c>
      <c r="CG88" s="464">
        <v>1907760</v>
      </c>
    </row>
    <row r="89" spans="80:85" ht="12.75">
      <c r="CB89" s="464">
        <v>360</v>
      </c>
      <c r="CC89" s="465" t="s">
        <v>380</v>
      </c>
      <c r="CD89" s="464">
        <v>5146529</v>
      </c>
      <c r="CE89" s="464">
        <v>2838000</v>
      </c>
      <c r="CF89" s="464">
        <v>0</v>
      </c>
      <c r="CG89" s="464">
        <v>2838000</v>
      </c>
    </row>
    <row r="90" spans="80:85" ht="25.5">
      <c r="CB90" s="464">
        <v>364</v>
      </c>
      <c r="CC90" s="465" t="s">
        <v>381</v>
      </c>
      <c r="CD90" s="464">
        <v>375789.59375</v>
      </c>
      <c r="CE90" s="464">
        <v>128500</v>
      </c>
      <c r="CF90" s="464">
        <v>9010</v>
      </c>
      <c r="CG90" s="464">
        <v>137510</v>
      </c>
    </row>
    <row r="91" spans="80:85" ht="12.75">
      <c r="CB91" s="464">
        <v>368</v>
      </c>
      <c r="CC91" s="465" t="s">
        <v>382</v>
      </c>
      <c r="CD91" s="464">
        <v>94677.1171875</v>
      </c>
      <c r="CE91" s="464">
        <v>35200</v>
      </c>
      <c r="CF91" s="464">
        <v>61220</v>
      </c>
      <c r="CG91" s="464">
        <v>96420</v>
      </c>
    </row>
    <row r="92" spans="80:85" ht="12.75">
      <c r="CB92" s="464">
        <v>372</v>
      </c>
      <c r="CC92" s="465" t="s">
        <v>383</v>
      </c>
      <c r="CD92" s="464">
        <v>78554.828125</v>
      </c>
      <c r="CE92" s="464">
        <v>49000</v>
      </c>
      <c r="CF92" s="464">
        <v>3000</v>
      </c>
      <c r="CG92" s="464">
        <v>52000</v>
      </c>
    </row>
    <row r="93" spans="80:85" ht="12.75">
      <c r="CB93" s="464">
        <v>376</v>
      </c>
      <c r="CC93" s="465" t="s">
        <v>384</v>
      </c>
      <c r="CD93" s="464">
        <v>9156.8896484375</v>
      </c>
      <c r="CE93" s="464">
        <v>750</v>
      </c>
      <c r="CF93" s="464">
        <v>920</v>
      </c>
      <c r="CG93" s="464">
        <v>1670</v>
      </c>
    </row>
    <row r="94" spans="80:85" ht="12.75">
      <c r="CB94" s="464">
        <v>380</v>
      </c>
      <c r="CC94" s="465" t="s">
        <v>385</v>
      </c>
      <c r="CD94" s="464">
        <v>250805.28125</v>
      </c>
      <c r="CE94" s="464">
        <v>182500</v>
      </c>
      <c r="CF94" s="464">
        <v>8800</v>
      </c>
      <c r="CG94" s="464">
        <v>191300</v>
      </c>
    </row>
    <row r="95" spans="80:85" ht="12.75">
      <c r="CB95" s="464">
        <v>388</v>
      </c>
      <c r="CC95" s="465" t="s">
        <v>386</v>
      </c>
      <c r="CD95" s="464">
        <v>22541.58984375</v>
      </c>
      <c r="CE95" s="464">
        <v>9404</v>
      </c>
      <c r="CF95" s="464">
        <v>0</v>
      </c>
      <c r="CG95" s="464">
        <v>9404</v>
      </c>
    </row>
    <row r="96" spans="80:85" ht="12.75">
      <c r="CB96" s="464">
        <v>392</v>
      </c>
      <c r="CC96" s="465" t="s">
        <v>387</v>
      </c>
      <c r="CD96" s="464">
        <v>630170.375</v>
      </c>
      <c r="CE96" s="464">
        <v>430000</v>
      </c>
      <c r="CF96" s="464">
        <v>0</v>
      </c>
      <c r="CG96" s="464">
        <v>430000</v>
      </c>
    </row>
    <row r="97" spans="80:85" ht="12.75">
      <c r="CB97" s="464">
        <v>400</v>
      </c>
      <c r="CC97" s="465" t="s">
        <v>388</v>
      </c>
      <c r="CD97" s="464">
        <v>9929.0703125</v>
      </c>
      <c r="CE97" s="464">
        <v>680</v>
      </c>
      <c r="CF97" s="464">
        <v>200</v>
      </c>
      <c r="CG97" s="464">
        <v>880</v>
      </c>
    </row>
    <row r="98" spans="80:85" ht="12.75">
      <c r="CB98" s="464">
        <v>398</v>
      </c>
      <c r="CC98" s="465" t="s">
        <v>389</v>
      </c>
      <c r="CD98" s="464">
        <v>680407.5</v>
      </c>
      <c r="CE98" s="464">
        <v>75420</v>
      </c>
      <c r="CF98" s="464">
        <v>34190</v>
      </c>
      <c r="CG98" s="464">
        <v>109610</v>
      </c>
    </row>
    <row r="99" spans="80:85" ht="12.75">
      <c r="CB99" s="464">
        <v>404</v>
      </c>
      <c r="CC99" s="465" t="s">
        <v>390</v>
      </c>
      <c r="CD99" s="464">
        <v>401906.21875</v>
      </c>
      <c r="CE99" s="464">
        <v>20200</v>
      </c>
      <c r="CF99" s="464">
        <v>10000</v>
      </c>
      <c r="CG99" s="464">
        <v>30200</v>
      </c>
    </row>
    <row r="100" spans="80:85" ht="25.5">
      <c r="CB100" s="464">
        <v>408</v>
      </c>
      <c r="CC100" s="465" t="s">
        <v>391</v>
      </c>
      <c r="CD100" s="464">
        <v>127000</v>
      </c>
      <c r="CE100" s="464">
        <v>67000</v>
      </c>
      <c r="CF100" s="464">
        <v>10135</v>
      </c>
      <c r="CG100" s="464">
        <v>77135</v>
      </c>
    </row>
    <row r="101" spans="80:85" ht="12.75">
      <c r="CB101" s="464">
        <v>410</v>
      </c>
      <c r="CC101" s="465" t="s">
        <v>392</v>
      </c>
      <c r="CD101" s="464">
        <v>126500</v>
      </c>
      <c r="CE101" s="464">
        <v>64850</v>
      </c>
      <c r="CF101" s="464">
        <v>4850</v>
      </c>
      <c r="CG101" s="464">
        <v>69700</v>
      </c>
    </row>
    <row r="102" spans="80:85" ht="12.75">
      <c r="CB102" s="464">
        <v>414</v>
      </c>
      <c r="CC102" s="465" t="s">
        <v>393</v>
      </c>
      <c r="CD102" s="464">
        <v>2159.780029296875</v>
      </c>
      <c r="CE102" s="464">
        <v>0</v>
      </c>
      <c r="CF102" s="464">
        <v>20</v>
      </c>
      <c r="CG102" s="464">
        <v>20</v>
      </c>
    </row>
    <row r="103" spans="80:85" ht="12.75">
      <c r="CB103" s="464">
        <v>417</v>
      </c>
      <c r="CC103" s="465" t="s">
        <v>394</v>
      </c>
      <c r="CD103" s="464">
        <v>106500</v>
      </c>
      <c r="CE103" s="464">
        <v>46450</v>
      </c>
      <c r="CF103" s="464">
        <v>0</v>
      </c>
      <c r="CG103" s="464">
        <v>46450</v>
      </c>
    </row>
    <row r="104" spans="80:85" ht="25.5">
      <c r="CB104" s="464">
        <v>418</v>
      </c>
      <c r="CC104" s="465" t="s">
        <v>395</v>
      </c>
      <c r="CD104" s="464">
        <v>434362.25</v>
      </c>
      <c r="CE104" s="464">
        <v>190420</v>
      </c>
      <c r="CF104" s="464">
        <v>143130</v>
      </c>
      <c r="CG104" s="464">
        <v>333550</v>
      </c>
    </row>
    <row r="105" spans="80:85" ht="12.75">
      <c r="CB105" s="464">
        <v>428</v>
      </c>
      <c r="CC105" s="465" t="s">
        <v>396</v>
      </c>
      <c r="CD105" s="464">
        <v>41395.6796875</v>
      </c>
      <c r="CE105" s="464">
        <v>16740</v>
      </c>
      <c r="CF105" s="464">
        <v>18709</v>
      </c>
      <c r="CG105" s="464">
        <v>35449</v>
      </c>
    </row>
    <row r="106" spans="80:85" ht="12.75">
      <c r="CB106" s="464">
        <v>422</v>
      </c>
      <c r="CC106" s="465" t="s">
        <v>397</v>
      </c>
      <c r="CD106" s="464">
        <v>6900</v>
      </c>
      <c r="CE106" s="464">
        <v>4800</v>
      </c>
      <c r="CF106" s="464">
        <v>37</v>
      </c>
      <c r="CG106" s="464">
        <v>4837</v>
      </c>
    </row>
    <row r="107" spans="80:85" ht="12.75">
      <c r="CB107" s="464">
        <v>426</v>
      </c>
      <c r="CC107" s="465" t="s">
        <v>398</v>
      </c>
      <c r="CD107" s="464">
        <v>23927.939453125</v>
      </c>
      <c r="CE107" s="464">
        <v>5230</v>
      </c>
      <c r="CF107" s="464">
        <v>0</v>
      </c>
      <c r="CG107" s="464">
        <v>5230</v>
      </c>
    </row>
    <row r="108" spans="80:85" ht="12.75">
      <c r="CB108" s="464">
        <v>430</v>
      </c>
      <c r="CC108" s="465" t="s">
        <v>399</v>
      </c>
      <c r="CD108" s="464">
        <v>266285.65625</v>
      </c>
      <c r="CE108" s="464">
        <v>200000</v>
      </c>
      <c r="CF108" s="464">
        <v>32000</v>
      </c>
      <c r="CG108" s="464">
        <v>232000</v>
      </c>
    </row>
    <row r="109" spans="80:85" ht="25.5">
      <c r="CB109" s="464">
        <v>434</v>
      </c>
      <c r="CC109" s="465" t="s">
        <v>400</v>
      </c>
      <c r="CD109" s="464">
        <v>98500</v>
      </c>
      <c r="CE109" s="464">
        <v>600</v>
      </c>
      <c r="CF109" s="464">
        <v>0</v>
      </c>
      <c r="CG109" s="464">
        <v>600</v>
      </c>
    </row>
    <row r="110" spans="80:85" ht="12.75">
      <c r="CB110" s="464">
        <v>440</v>
      </c>
      <c r="CC110" s="465" t="s">
        <v>401</v>
      </c>
      <c r="CD110" s="464">
        <v>42764.6796875</v>
      </c>
      <c r="CE110" s="464">
        <v>15560</v>
      </c>
      <c r="CF110" s="464">
        <v>9340</v>
      </c>
      <c r="CG110" s="464">
        <v>24900</v>
      </c>
    </row>
    <row r="111" spans="80:85" ht="12.75">
      <c r="CB111" s="464">
        <v>442</v>
      </c>
      <c r="CC111" s="465" t="s">
        <v>402</v>
      </c>
      <c r="CD111" s="464">
        <v>2437.739990234375</v>
      </c>
      <c r="CE111" s="464">
        <v>1000</v>
      </c>
      <c r="CF111" s="464">
        <v>2100</v>
      </c>
      <c r="CG111" s="464">
        <v>3100</v>
      </c>
    </row>
    <row r="112" spans="80:85" ht="12.75">
      <c r="CB112" s="464">
        <v>450</v>
      </c>
      <c r="CC112" s="465" t="s">
        <v>403</v>
      </c>
      <c r="CD112" s="464">
        <v>888191.5</v>
      </c>
      <c r="CE112" s="464">
        <v>337000</v>
      </c>
      <c r="CF112" s="464">
        <v>0</v>
      </c>
      <c r="CG112" s="464">
        <v>337000</v>
      </c>
    </row>
    <row r="113" spans="80:85" ht="12.75">
      <c r="CB113" s="464">
        <v>454</v>
      </c>
      <c r="CC113" s="465" t="s">
        <v>404</v>
      </c>
      <c r="CD113" s="464">
        <v>139960.421875</v>
      </c>
      <c r="CE113" s="464">
        <v>16140</v>
      </c>
      <c r="CF113" s="464">
        <v>1140</v>
      </c>
      <c r="CG113" s="464">
        <v>17280</v>
      </c>
    </row>
    <row r="114" spans="80:85" ht="12.75">
      <c r="CB114" s="464">
        <v>458</v>
      </c>
      <c r="CC114" s="465" t="s">
        <v>405</v>
      </c>
      <c r="CD114" s="464">
        <v>948163.125</v>
      </c>
      <c r="CE114" s="464">
        <v>580000</v>
      </c>
      <c r="CF114" s="464">
        <v>0</v>
      </c>
      <c r="CG114" s="464">
        <v>580000</v>
      </c>
    </row>
    <row r="115" spans="80:85" ht="12.75">
      <c r="CB115" s="464">
        <v>462</v>
      </c>
      <c r="CC115" s="465" t="s">
        <v>406</v>
      </c>
      <c r="CD115" s="464">
        <v>591.719970703125</v>
      </c>
      <c r="CE115" s="464">
        <v>30</v>
      </c>
      <c r="CF115" s="464">
        <v>0</v>
      </c>
      <c r="CG115" s="464">
        <v>30</v>
      </c>
    </row>
    <row r="116" spans="80:85" ht="12.75">
      <c r="CB116" s="464">
        <v>466</v>
      </c>
      <c r="CC116" s="465" t="s">
        <v>407</v>
      </c>
      <c r="CD116" s="464">
        <v>349609.5625</v>
      </c>
      <c r="CE116" s="464">
        <v>60000</v>
      </c>
      <c r="CF116" s="464">
        <v>40000</v>
      </c>
      <c r="CG116" s="464">
        <v>100000</v>
      </c>
    </row>
    <row r="117" spans="80:85" ht="12.75">
      <c r="CB117" s="464">
        <v>470</v>
      </c>
      <c r="CC117" s="465" t="s">
        <v>408</v>
      </c>
      <c r="CD117" s="464">
        <v>200</v>
      </c>
      <c r="CE117" s="464">
        <v>50.5</v>
      </c>
      <c r="CF117" s="464">
        <v>0</v>
      </c>
      <c r="CG117" s="464">
        <v>50.5</v>
      </c>
    </row>
    <row r="118" spans="80:85" ht="12.75">
      <c r="CB118" s="464">
        <v>474</v>
      </c>
      <c r="CC118" s="465" t="s">
        <v>409</v>
      </c>
      <c r="CD118" s="464">
        <v>2894.10009765625</v>
      </c>
      <c r="CE118" s="464" t="s">
        <v>616</v>
      </c>
      <c r="CF118" s="464" t="s">
        <v>616</v>
      </c>
      <c r="CG118" s="464" t="s">
        <v>616</v>
      </c>
    </row>
    <row r="119" spans="80:85" ht="12.75">
      <c r="CB119" s="464">
        <v>478</v>
      </c>
      <c r="CC119" s="465" t="s">
        <v>410</v>
      </c>
      <c r="CD119" s="464">
        <v>94655.5</v>
      </c>
      <c r="CE119" s="464">
        <v>400</v>
      </c>
      <c r="CF119" s="464">
        <v>11000</v>
      </c>
      <c r="CG119" s="464">
        <v>11400</v>
      </c>
    </row>
    <row r="120" spans="80:85" ht="12.75">
      <c r="CB120" s="464">
        <v>480</v>
      </c>
      <c r="CC120" s="465" t="s">
        <v>411</v>
      </c>
      <c r="CD120" s="464">
        <v>4163.64013671875</v>
      </c>
      <c r="CE120" s="464">
        <v>2210</v>
      </c>
      <c r="CF120" s="464">
        <v>0</v>
      </c>
      <c r="CG120" s="464">
        <v>2210</v>
      </c>
    </row>
    <row r="121" spans="80:85" ht="12.75">
      <c r="CB121" s="464">
        <v>484</v>
      </c>
      <c r="CC121" s="465" t="s">
        <v>412</v>
      </c>
      <c r="CD121" s="464">
        <v>1471979</v>
      </c>
      <c r="CE121" s="464">
        <v>409000</v>
      </c>
      <c r="CF121" s="464">
        <v>48222</v>
      </c>
      <c r="CG121" s="464">
        <v>457222</v>
      </c>
    </row>
    <row r="122" spans="80:85" ht="12.75">
      <c r="CB122" s="464">
        <v>496</v>
      </c>
      <c r="CC122" s="465" t="s">
        <v>413</v>
      </c>
      <c r="CD122" s="464">
        <v>377369.84375</v>
      </c>
      <c r="CE122" s="464">
        <v>34800</v>
      </c>
      <c r="CF122" s="464">
        <v>0</v>
      </c>
      <c r="CG122" s="464">
        <v>34800</v>
      </c>
    </row>
    <row r="123" spans="80:85" ht="12.75">
      <c r="CB123" s="464">
        <v>504</v>
      </c>
      <c r="CC123" s="465" t="s">
        <v>414</v>
      </c>
      <c r="CD123" s="464">
        <v>154684.921875</v>
      </c>
      <c r="CE123" s="464">
        <v>29000</v>
      </c>
      <c r="CF123" s="464">
        <v>0</v>
      </c>
      <c r="CG123" s="464">
        <v>29000</v>
      </c>
    </row>
    <row r="124" spans="80:85" ht="12.75">
      <c r="CB124" s="464">
        <v>508</v>
      </c>
      <c r="CC124" s="465" t="s">
        <v>415</v>
      </c>
      <c r="CD124" s="464">
        <v>827200</v>
      </c>
      <c r="CE124" s="464">
        <v>99000</v>
      </c>
      <c r="CF124" s="464">
        <v>117110</v>
      </c>
      <c r="CG124" s="464">
        <v>216110</v>
      </c>
    </row>
    <row r="125" spans="80:85" ht="12.75">
      <c r="CB125" s="464">
        <v>104</v>
      </c>
      <c r="CC125" s="465" t="s">
        <v>416</v>
      </c>
      <c r="CD125" s="464">
        <v>1414593.5</v>
      </c>
      <c r="CE125" s="464">
        <v>880600</v>
      </c>
      <c r="CF125" s="464">
        <v>165001</v>
      </c>
      <c r="CG125" s="464">
        <v>1045601</v>
      </c>
    </row>
    <row r="126" spans="80:85" ht="12.75">
      <c r="CB126" s="464">
        <v>516</v>
      </c>
      <c r="CC126" s="465" t="s">
        <v>417</v>
      </c>
      <c r="CD126" s="464">
        <v>235252.375</v>
      </c>
      <c r="CE126" s="464">
        <v>6160</v>
      </c>
      <c r="CF126" s="464">
        <v>39300</v>
      </c>
      <c r="CG126" s="464">
        <v>45460</v>
      </c>
    </row>
    <row r="127" spans="80:85" ht="12.75">
      <c r="CB127" s="464">
        <v>524</v>
      </c>
      <c r="CC127" s="465" t="s">
        <v>418</v>
      </c>
      <c r="CD127" s="464">
        <v>220800</v>
      </c>
      <c r="CE127" s="464">
        <v>198200</v>
      </c>
      <c r="CF127" s="464">
        <v>12000</v>
      </c>
      <c r="CG127" s="464">
        <v>210200</v>
      </c>
    </row>
    <row r="128" spans="80:85" ht="12.75">
      <c r="CB128" s="464">
        <v>528</v>
      </c>
      <c r="CC128" s="465" t="s">
        <v>419</v>
      </c>
      <c r="CD128" s="464">
        <v>32310.33984375</v>
      </c>
      <c r="CE128" s="464">
        <v>11000</v>
      </c>
      <c r="CF128" s="464">
        <v>80000</v>
      </c>
      <c r="CG128" s="464">
        <v>91000</v>
      </c>
    </row>
    <row r="129" spans="80:85" ht="12.75">
      <c r="CB129" s="464">
        <v>540</v>
      </c>
      <c r="CC129" s="465" t="s">
        <v>420</v>
      </c>
      <c r="CD129" s="464">
        <v>27830.98046875</v>
      </c>
      <c r="CE129" s="464" t="s">
        <v>616</v>
      </c>
      <c r="CF129" s="464" t="s">
        <v>616</v>
      </c>
      <c r="CG129" s="464" t="s">
        <v>616</v>
      </c>
    </row>
    <row r="130" spans="80:85" ht="12.75">
      <c r="CB130" s="464">
        <v>554</v>
      </c>
      <c r="CC130" s="465" t="s">
        <v>421</v>
      </c>
      <c r="CD130" s="464">
        <v>468422.6875</v>
      </c>
      <c r="CE130" s="464">
        <v>327000</v>
      </c>
      <c r="CF130" s="464">
        <v>0</v>
      </c>
      <c r="CG130" s="464">
        <v>327000</v>
      </c>
    </row>
    <row r="131" spans="80:85" ht="12.75">
      <c r="CB131" s="464">
        <v>558</v>
      </c>
      <c r="CC131" s="465" t="s">
        <v>422</v>
      </c>
      <c r="CD131" s="464">
        <v>310856</v>
      </c>
      <c r="CE131" s="464">
        <v>189740</v>
      </c>
      <c r="CF131" s="464">
        <v>6950</v>
      </c>
      <c r="CG131" s="464">
        <v>196690</v>
      </c>
    </row>
    <row r="132" spans="80:85" ht="12.75">
      <c r="CB132" s="464">
        <v>562</v>
      </c>
      <c r="CC132" s="465" t="s">
        <v>423</v>
      </c>
      <c r="CD132" s="464">
        <v>190810.203125</v>
      </c>
      <c r="CE132" s="464">
        <v>3500</v>
      </c>
      <c r="CF132" s="464">
        <v>30150</v>
      </c>
      <c r="CG132" s="464">
        <v>33650</v>
      </c>
    </row>
    <row r="133" spans="80:85" ht="12.75">
      <c r="CB133" s="464">
        <v>566</v>
      </c>
      <c r="CC133" s="465" t="s">
        <v>424</v>
      </c>
      <c r="CD133" s="464">
        <v>1062335.5</v>
      </c>
      <c r="CE133" s="464">
        <v>221000</v>
      </c>
      <c r="CF133" s="464">
        <v>65200</v>
      </c>
      <c r="CG133" s="464">
        <v>286200</v>
      </c>
    </row>
    <row r="134" spans="80:85" ht="12.75">
      <c r="CB134" s="464">
        <v>578</v>
      </c>
      <c r="CC134" s="465" t="s">
        <v>425</v>
      </c>
      <c r="CD134" s="464">
        <v>458000</v>
      </c>
      <c r="CE134" s="464">
        <v>382000</v>
      </c>
      <c r="CF134" s="464">
        <v>0</v>
      </c>
      <c r="CG134" s="464">
        <v>382000</v>
      </c>
    </row>
    <row r="135" spans="80:85" ht="25.5">
      <c r="CB135" s="464">
        <v>275</v>
      </c>
      <c r="CC135" s="465" t="s">
        <v>426</v>
      </c>
      <c r="CD135" s="464">
        <v>120</v>
      </c>
      <c r="CE135" s="464">
        <v>46</v>
      </c>
      <c r="CF135" s="464">
        <v>10</v>
      </c>
      <c r="CG135" s="464">
        <v>56</v>
      </c>
    </row>
    <row r="136" spans="80:85" ht="12.75">
      <c r="CB136" s="464">
        <v>512</v>
      </c>
      <c r="CC136" s="465" t="s">
        <v>427</v>
      </c>
      <c r="CD136" s="464">
        <v>26600</v>
      </c>
      <c r="CE136" s="464">
        <v>985</v>
      </c>
      <c r="CF136" s="464">
        <v>0</v>
      </c>
      <c r="CG136" s="464">
        <v>985</v>
      </c>
    </row>
    <row r="137" spans="80:85" ht="12.75">
      <c r="CB137" s="464">
        <v>586</v>
      </c>
      <c r="CC137" s="465" t="s">
        <v>428</v>
      </c>
      <c r="CD137" s="464">
        <v>393300</v>
      </c>
      <c r="CE137" s="464">
        <v>52400</v>
      </c>
      <c r="CF137" s="464">
        <v>181370</v>
      </c>
      <c r="CG137" s="464">
        <v>233770</v>
      </c>
    </row>
    <row r="138" spans="80:85" ht="12.75">
      <c r="CB138" s="464">
        <v>591</v>
      </c>
      <c r="CC138" s="465" t="s">
        <v>429</v>
      </c>
      <c r="CD138" s="464">
        <v>203299.84375</v>
      </c>
      <c r="CE138" s="464">
        <v>147420</v>
      </c>
      <c r="CF138" s="464">
        <v>560</v>
      </c>
      <c r="CG138" s="464">
        <v>147980</v>
      </c>
    </row>
    <row r="139" spans="80:85" ht="12.75">
      <c r="CB139" s="464">
        <v>598</v>
      </c>
      <c r="CC139" s="465" t="s">
        <v>430</v>
      </c>
      <c r="CD139" s="464">
        <v>1454104.375</v>
      </c>
      <c r="CE139" s="464">
        <v>801000</v>
      </c>
      <c r="CF139" s="464">
        <v>0</v>
      </c>
      <c r="CG139" s="464">
        <v>801000</v>
      </c>
    </row>
    <row r="140" spans="80:85" ht="12.75">
      <c r="CB140" s="464">
        <v>600</v>
      </c>
      <c r="CC140" s="465" t="s">
        <v>431</v>
      </c>
      <c r="CD140" s="464">
        <v>459546.15625</v>
      </c>
      <c r="CE140" s="464">
        <v>94000</v>
      </c>
      <c r="CF140" s="464">
        <v>242000</v>
      </c>
      <c r="CG140" s="464">
        <v>336000</v>
      </c>
    </row>
    <row r="141" spans="80:85" ht="12.75">
      <c r="CB141" s="464">
        <v>604</v>
      </c>
      <c r="CC141" s="465" t="s">
        <v>432</v>
      </c>
      <c r="CD141" s="464">
        <v>2233700</v>
      </c>
      <c r="CE141" s="464">
        <v>1616000</v>
      </c>
      <c r="CF141" s="464">
        <v>297000</v>
      </c>
      <c r="CG141" s="464">
        <v>1913000</v>
      </c>
    </row>
    <row r="142" spans="80:85" ht="12.75">
      <c r="CB142" s="464">
        <v>608</v>
      </c>
      <c r="CC142" s="465" t="s">
        <v>433</v>
      </c>
      <c r="CD142" s="464">
        <v>704340</v>
      </c>
      <c r="CE142" s="464">
        <v>479000</v>
      </c>
      <c r="CF142" s="464">
        <v>0</v>
      </c>
      <c r="CG142" s="464">
        <v>479000</v>
      </c>
    </row>
    <row r="143" spans="80:85" ht="12.75">
      <c r="CB143" s="464">
        <v>616</v>
      </c>
      <c r="CC143" s="465" t="s">
        <v>434</v>
      </c>
      <c r="CD143" s="464">
        <v>194014.65625</v>
      </c>
      <c r="CE143" s="464">
        <v>53600</v>
      </c>
      <c r="CF143" s="464">
        <v>8000</v>
      </c>
      <c r="CG143" s="464">
        <v>61600</v>
      </c>
    </row>
    <row r="144" spans="80:85" ht="12.75">
      <c r="CB144" s="464">
        <v>620</v>
      </c>
      <c r="CC144" s="465" t="s">
        <v>435</v>
      </c>
      <c r="CD144" s="464">
        <v>78596.90625</v>
      </c>
      <c r="CE144" s="464">
        <v>38000</v>
      </c>
      <c r="CF144" s="464">
        <v>39400</v>
      </c>
      <c r="CG144" s="464">
        <v>77400</v>
      </c>
    </row>
    <row r="145" spans="80:85" ht="12.75">
      <c r="CB145" s="464">
        <v>630</v>
      </c>
      <c r="CC145" s="465" t="s">
        <v>436</v>
      </c>
      <c r="CD145" s="464">
        <v>18383.30078125</v>
      </c>
      <c r="CE145" s="464">
        <v>7100</v>
      </c>
      <c r="CF145" s="464">
        <v>0</v>
      </c>
      <c r="CG145" s="464">
        <v>7100</v>
      </c>
    </row>
    <row r="146" spans="80:85" ht="12.75">
      <c r="CB146" s="464">
        <v>634</v>
      </c>
      <c r="CC146" s="465" t="s">
        <v>437</v>
      </c>
      <c r="CD146" s="464">
        <v>810.7000122070312</v>
      </c>
      <c r="CE146" s="464">
        <v>51</v>
      </c>
      <c r="CF146" s="464">
        <v>2</v>
      </c>
      <c r="CG146" s="464">
        <v>53</v>
      </c>
    </row>
    <row r="147" spans="80:85" ht="12.75">
      <c r="CB147" s="464">
        <v>498</v>
      </c>
      <c r="CC147" s="465" t="s">
        <v>438</v>
      </c>
      <c r="CD147" s="464">
        <v>15200</v>
      </c>
      <c r="CE147" s="464">
        <v>1000</v>
      </c>
      <c r="CF147" s="464">
        <v>10650</v>
      </c>
      <c r="CG147" s="464">
        <v>11650</v>
      </c>
    </row>
    <row r="148" spans="80:85" ht="12.75">
      <c r="CB148" s="464">
        <v>638</v>
      </c>
      <c r="CC148" s="465" t="s">
        <v>439</v>
      </c>
      <c r="CD148" s="464">
        <v>7500</v>
      </c>
      <c r="CE148" s="464">
        <v>5000</v>
      </c>
      <c r="CF148" s="464">
        <v>0</v>
      </c>
      <c r="CG148" s="464">
        <v>5000</v>
      </c>
    </row>
    <row r="149" spans="80:85" ht="12.75">
      <c r="CB149" s="464">
        <v>642</v>
      </c>
      <c r="CC149" s="465" t="s">
        <v>440</v>
      </c>
      <c r="CD149" s="464">
        <v>151949.796875</v>
      </c>
      <c r="CE149" s="464">
        <v>42300</v>
      </c>
      <c r="CF149" s="464">
        <v>169630</v>
      </c>
      <c r="CG149" s="464">
        <v>211930</v>
      </c>
    </row>
    <row r="150" spans="80:85" ht="12.75">
      <c r="CB150" s="464">
        <v>643</v>
      </c>
      <c r="CC150" s="465" t="s">
        <v>441</v>
      </c>
      <c r="CD150" s="464">
        <v>7854684</v>
      </c>
      <c r="CE150" s="464">
        <v>4312700</v>
      </c>
      <c r="CF150" s="464">
        <v>194550</v>
      </c>
      <c r="CG150" s="464">
        <v>4507250</v>
      </c>
    </row>
    <row r="151" spans="80:85" ht="12.75">
      <c r="CB151" s="464">
        <v>646</v>
      </c>
      <c r="CC151" s="465" t="s">
        <v>442</v>
      </c>
      <c r="CD151" s="464">
        <v>31931.98046875</v>
      </c>
      <c r="CE151" s="464">
        <v>5200</v>
      </c>
      <c r="CF151" s="464">
        <v>0</v>
      </c>
      <c r="CG151" s="464">
        <v>5200</v>
      </c>
    </row>
    <row r="152" spans="80:85" ht="12.75">
      <c r="CB152" s="464">
        <v>654</v>
      </c>
      <c r="CC152" s="465" t="s">
        <v>443</v>
      </c>
      <c r="CD152" s="464">
        <v>236.52999877929688</v>
      </c>
      <c r="CE152" s="464" t="s">
        <v>616</v>
      </c>
      <c r="CF152" s="464" t="s">
        <v>616</v>
      </c>
      <c r="CG152" s="464" t="s">
        <v>616</v>
      </c>
    </row>
    <row r="153" spans="80:85" ht="25.5">
      <c r="CB153" s="464">
        <v>659</v>
      </c>
      <c r="CC153" s="465" t="s">
        <v>444</v>
      </c>
      <c r="CD153" s="464">
        <v>500</v>
      </c>
      <c r="CE153" s="464">
        <v>23.600000381469727</v>
      </c>
      <c r="CF153" s="464">
        <v>0</v>
      </c>
      <c r="CG153" s="464">
        <v>23.600000381469727</v>
      </c>
    </row>
    <row r="154" spans="80:85" ht="12.75">
      <c r="CB154" s="464">
        <v>662</v>
      </c>
      <c r="CC154" s="465" t="s">
        <v>445</v>
      </c>
      <c r="CD154" s="464">
        <v>1426.6199951171875</v>
      </c>
      <c r="CE154" s="464" t="s">
        <v>616</v>
      </c>
      <c r="CF154" s="464" t="s">
        <v>616</v>
      </c>
      <c r="CG154" s="464" t="s">
        <v>616</v>
      </c>
    </row>
    <row r="155" spans="80:85" ht="12.75">
      <c r="CB155" s="464">
        <v>882</v>
      </c>
      <c r="CC155" s="465" t="s">
        <v>446</v>
      </c>
      <c r="CD155" s="464">
        <v>8496.4296875</v>
      </c>
      <c r="CE155" s="464" t="s">
        <v>616</v>
      </c>
      <c r="CF155" s="464" t="s">
        <v>616</v>
      </c>
      <c r="CG155" s="464" t="s">
        <v>616</v>
      </c>
    </row>
    <row r="156" spans="80:85" ht="25.5">
      <c r="CB156" s="464">
        <v>678</v>
      </c>
      <c r="CC156" s="465" t="s">
        <v>447</v>
      </c>
      <c r="CD156" s="464">
        <v>3100</v>
      </c>
      <c r="CE156" s="464">
        <v>2180</v>
      </c>
      <c r="CF156" s="464">
        <v>0</v>
      </c>
      <c r="CG156" s="464">
        <v>2180</v>
      </c>
    </row>
    <row r="157" spans="80:85" ht="12.75">
      <c r="CB157" s="464">
        <v>682</v>
      </c>
      <c r="CC157" s="465" t="s">
        <v>448</v>
      </c>
      <c r="CD157" s="464">
        <v>126800</v>
      </c>
      <c r="CE157" s="464">
        <v>2400</v>
      </c>
      <c r="CF157" s="464">
        <v>0</v>
      </c>
      <c r="CG157" s="464">
        <v>2400</v>
      </c>
    </row>
    <row r="158" spans="80:85" ht="12.75">
      <c r="CB158" s="464">
        <v>686</v>
      </c>
      <c r="CC158" s="465" t="s">
        <v>449</v>
      </c>
      <c r="CD158" s="464">
        <v>135048.28125</v>
      </c>
      <c r="CE158" s="464">
        <v>26400</v>
      </c>
      <c r="CF158" s="464">
        <v>13000</v>
      </c>
      <c r="CG158" s="464">
        <v>39400</v>
      </c>
    </row>
    <row r="159" spans="80:85" ht="25.5">
      <c r="CB159" s="464">
        <v>891</v>
      </c>
      <c r="CC159" s="465" t="s">
        <v>450</v>
      </c>
      <c r="CD159" s="464">
        <v>81225.1484375</v>
      </c>
      <c r="CE159" s="464">
        <v>44000</v>
      </c>
      <c r="CF159" s="464">
        <v>164500</v>
      </c>
      <c r="CG159" s="464">
        <v>208500</v>
      </c>
    </row>
    <row r="160" spans="80:85" ht="12.75">
      <c r="CB160" s="464">
        <v>690</v>
      </c>
      <c r="CC160" s="465" t="s">
        <v>451</v>
      </c>
      <c r="CD160" s="464">
        <v>886.6799926757812</v>
      </c>
      <c r="CE160" s="464" t="s">
        <v>616</v>
      </c>
      <c r="CF160" s="464" t="s">
        <v>616</v>
      </c>
      <c r="CG160" s="464" t="s">
        <v>616</v>
      </c>
    </row>
    <row r="161" spans="80:85" ht="12.75">
      <c r="CB161" s="464">
        <v>694</v>
      </c>
      <c r="CC161" s="465" t="s">
        <v>452</v>
      </c>
      <c r="CD161" s="464">
        <v>181215.234375</v>
      </c>
      <c r="CE161" s="464">
        <v>160000</v>
      </c>
      <c r="CF161" s="464">
        <v>0</v>
      </c>
      <c r="CG161" s="464">
        <v>160000</v>
      </c>
    </row>
    <row r="162" spans="80:85" ht="12.75">
      <c r="CB162" s="464">
        <v>702</v>
      </c>
      <c r="CC162" s="465" t="s">
        <v>453</v>
      </c>
      <c r="CD162" s="464">
        <v>1548.1400146484375</v>
      </c>
      <c r="CE162" s="464">
        <v>600</v>
      </c>
      <c r="CF162" s="464">
        <v>0</v>
      </c>
      <c r="CG162" s="464">
        <v>600</v>
      </c>
    </row>
    <row r="163" spans="80:85" ht="12.75">
      <c r="CB163" s="464">
        <v>703</v>
      </c>
      <c r="CC163" s="465" t="s">
        <v>454</v>
      </c>
      <c r="CD163" s="464">
        <v>40394.0390625</v>
      </c>
      <c r="CE163" s="464">
        <v>12600</v>
      </c>
      <c r="CF163" s="464">
        <v>37500</v>
      </c>
      <c r="CG163" s="464">
        <v>50100</v>
      </c>
    </row>
    <row r="164" spans="80:85" ht="12.75">
      <c r="CB164" s="464">
        <v>705</v>
      </c>
      <c r="CC164" s="465" t="s">
        <v>455</v>
      </c>
      <c r="CD164" s="464">
        <v>23530.5</v>
      </c>
      <c r="CE164" s="464">
        <v>18670</v>
      </c>
      <c r="CF164" s="464">
        <v>13200</v>
      </c>
      <c r="CG164" s="464">
        <v>31870</v>
      </c>
    </row>
    <row r="165" spans="80:85" ht="12.75">
      <c r="CB165" s="464">
        <v>90</v>
      </c>
      <c r="CC165" s="465" t="s">
        <v>456</v>
      </c>
      <c r="CD165" s="464">
        <v>87509.203125</v>
      </c>
      <c r="CE165" s="464">
        <v>44700</v>
      </c>
      <c r="CF165" s="464">
        <v>0</v>
      </c>
      <c r="CG165" s="464">
        <v>44700</v>
      </c>
    </row>
    <row r="166" spans="80:85" ht="12.75">
      <c r="CB166" s="464">
        <v>706</v>
      </c>
      <c r="CC166" s="465" t="s">
        <v>457</v>
      </c>
      <c r="CD166" s="464">
        <v>180075.1875</v>
      </c>
      <c r="CE166" s="464">
        <v>6000</v>
      </c>
      <c r="CF166" s="464">
        <v>7500</v>
      </c>
      <c r="CG166" s="464">
        <v>13500</v>
      </c>
    </row>
    <row r="167" spans="80:85" ht="12.75">
      <c r="CB167" s="464">
        <v>710</v>
      </c>
      <c r="CC167" s="465" t="s">
        <v>458</v>
      </c>
      <c r="CD167" s="464">
        <v>603926.375</v>
      </c>
      <c r="CE167" s="464">
        <v>44800</v>
      </c>
      <c r="CF167" s="464">
        <v>5200</v>
      </c>
      <c r="CG167" s="464">
        <v>50000</v>
      </c>
    </row>
    <row r="168" spans="80:85" ht="12.75">
      <c r="CB168" s="464">
        <v>724</v>
      </c>
      <c r="CC168" s="465" t="s">
        <v>459</v>
      </c>
      <c r="CD168" s="464">
        <v>321708.4375</v>
      </c>
      <c r="CE168" s="464">
        <v>111200</v>
      </c>
      <c r="CF168" s="464">
        <v>300</v>
      </c>
      <c r="CG168" s="464">
        <v>111500</v>
      </c>
    </row>
    <row r="169" spans="80:85" ht="12.75">
      <c r="CB169" s="464">
        <v>144</v>
      </c>
      <c r="CC169" s="465" t="s">
        <v>460</v>
      </c>
      <c r="CD169" s="464">
        <v>112337.4375</v>
      </c>
      <c r="CE169" s="464">
        <v>50000</v>
      </c>
      <c r="CF169" s="464">
        <v>0</v>
      </c>
      <c r="CG169" s="464">
        <v>50000</v>
      </c>
    </row>
    <row r="170" spans="80:85" ht="25.5">
      <c r="CB170" s="464">
        <v>670</v>
      </c>
      <c r="CC170" s="465" t="s">
        <v>461</v>
      </c>
      <c r="CD170" s="464">
        <v>617.3699951171875</v>
      </c>
      <c r="CE170" s="464" t="s">
        <v>616</v>
      </c>
      <c r="CF170" s="464" t="s">
        <v>616</v>
      </c>
      <c r="CG170" s="464" t="s">
        <v>616</v>
      </c>
    </row>
    <row r="171" spans="80:85" ht="12.75">
      <c r="CB171" s="464">
        <v>736</v>
      </c>
      <c r="CC171" s="465" t="s">
        <v>462</v>
      </c>
      <c r="CD171" s="464">
        <v>1043669.875</v>
      </c>
      <c r="CE171" s="464">
        <v>30000</v>
      </c>
      <c r="CF171" s="464">
        <v>119000</v>
      </c>
      <c r="CG171" s="464">
        <v>149000</v>
      </c>
    </row>
    <row r="172" spans="80:85" ht="12.75">
      <c r="CB172" s="464">
        <v>740</v>
      </c>
      <c r="CC172" s="465" t="s">
        <v>463</v>
      </c>
      <c r="CD172" s="464">
        <v>380582.375</v>
      </c>
      <c r="CE172" s="464">
        <v>88000</v>
      </c>
      <c r="CF172" s="464">
        <v>34000</v>
      </c>
      <c r="CG172" s="464">
        <v>122000</v>
      </c>
    </row>
    <row r="173" spans="80:85" ht="12.75">
      <c r="CB173" s="464">
        <v>748</v>
      </c>
      <c r="CC173" s="465" t="s">
        <v>464</v>
      </c>
      <c r="CD173" s="464">
        <v>13677.9404296875</v>
      </c>
      <c r="CE173" s="464">
        <v>2640</v>
      </c>
      <c r="CF173" s="464">
        <v>1870</v>
      </c>
      <c r="CG173" s="464">
        <v>4510</v>
      </c>
    </row>
    <row r="174" spans="80:85" ht="12.75">
      <c r="CB174" s="464">
        <v>752</v>
      </c>
      <c r="CC174" s="465" t="s">
        <v>465</v>
      </c>
      <c r="CD174" s="464">
        <v>280730.03125</v>
      </c>
      <c r="CE174" s="464">
        <v>171000</v>
      </c>
      <c r="CF174" s="464">
        <v>3000</v>
      </c>
      <c r="CG174" s="464">
        <v>174000</v>
      </c>
    </row>
    <row r="175" spans="80:85" ht="12.75">
      <c r="CB175" s="464">
        <v>756</v>
      </c>
      <c r="CC175" s="465" t="s">
        <v>466</v>
      </c>
      <c r="CD175" s="464">
        <v>63458.6015625</v>
      </c>
      <c r="CE175" s="464">
        <v>40400</v>
      </c>
      <c r="CF175" s="464">
        <v>13100</v>
      </c>
      <c r="CG175" s="464">
        <v>53500</v>
      </c>
    </row>
    <row r="176" spans="80:85" ht="25.5">
      <c r="CB176" s="464">
        <v>760</v>
      </c>
      <c r="CC176" s="465" t="s">
        <v>467</v>
      </c>
      <c r="CD176" s="464">
        <v>46700</v>
      </c>
      <c r="CE176" s="464">
        <v>7000</v>
      </c>
      <c r="CF176" s="464">
        <v>39080</v>
      </c>
      <c r="CG176" s="464">
        <v>46080</v>
      </c>
    </row>
    <row r="177" spans="80:85" ht="12.75">
      <c r="CB177" s="464">
        <v>762</v>
      </c>
      <c r="CC177" s="465" t="s">
        <v>468</v>
      </c>
      <c r="CD177" s="464">
        <v>98900</v>
      </c>
      <c r="CE177" s="464">
        <v>66300</v>
      </c>
      <c r="CF177" s="464">
        <v>33430</v>
      </c>
      <c r="CG177" s="464">
        <v>99730</v>
      </c>
    </row>
    <row r="178" spans="80:85" ht="12.75">
      <c r="CB178" s="464">
        <v>764</v>
      </c>
      <c r="CC178" s="465" t="s">
        <v>469</v>
      </c>
      <c r="CD178" s="464">
        <v>832434.5625</v>
      </c>
      <c r="CE178" s="464">
        <v>210000</v>
      </c>
      <c r="CF178" s="464">
        <v>199944</v>
      </c>
      <c r="CG178" s="464">
        <v>409944</v>
      </c>
    </row>
    <row r="179" spans="80:85" ht="38.25">
      <c r="CB179" s="464">
        <v>807</v>
      </c>
      <c r="CC179" s="465" t="s">
        <v>470</v>
      </c>
      <c r="CD179" s="464">
        <v>15914.490234375</v>
      </c>
      <c r="CE179" s="464">
        <v>5400</v>
      </c>
      <c r="CF179" s="464">
        <v>1000</v>
      </c>
      <c r="CG179" s="464">
        <v>6400</v>
      </c>
    </row>
    <row r="180" spans="80:85" ht="12.75">
      <c r="CB180" s="464">
        <v>768</v>
      </c>
      <c r="CC180" s="465" t="s">
        <v>471</v>
      </c>
      <c r="CD180" s="464">
        <v>66302.328125</v>
      </c>
      <c r="CE180" s="464">
        <v>11500</v>
      </c>
      <c r="CF180" s="464">
        <v>3200</v>
      </c>
      <c r="CG180" s="464">
        <v>14700</v>
      </c>
    </row>
    <row r="181" spans="80:85" ht="12.75">
      <c r="CB181" s="464">
        <v>776</v>
      </c>
      <c r="CC181" s="465" t="s">
        <v>472</v>
      </c>
      <c r="CD181" s="464">
        <v>1474.280029296875</v>
      </c>
      <c r="CE181" s="464" t="s">
        <v>616</v>
      </c>
      <c r="CF181" s="464" t="s">
        <v>616</v>
      </c>
      <c r="CG181" s="464" t="s">
        <v>616</v>
      </c>
    </row>
    <row r="182" spans="80:85" ht="12.75">
      <c r="CB182" s="464">
        <v>780</v>
      </c>
      <c r="CC182" s="465" t="s">
        <v>473</v>
      </c>
      <c r="CD182" s="464">
        <v>11300</v>
      </c>
      <c r="CE182" s="464">
        <v>3840</v>
      </c>
      <c r="CF182" s="464">
        <v>0</v>
      </c>
      <c r="CG182" s="464">
        <v>3840</v>
      </c>
    </row>
    <row r="183" spans="80:85" ht="12.75">
      <c r="CB183" s="464">
        <v>788</v>
      </c>
      <c r="CC183" s="465" t="s">
        <v>474</v>
      </c>
      <c r="CD183" s="464">
        <v>33900</v>
      </c>
      <c r="CE183" s="464">
        <v>4150</v>
      </c>
      <c r="CF183" s="464">
        <v>410</v>
      </c>
      <c r="CG183" s="464">
        <v>4560</v>
      </c>
    </row>
    <row r="184" spans="80:85" ht="12.75">
      <c r="CB184" s="464">
        <v>792</v>
      </c>
      <c r="CC184" s="465" t="s">
        <v>475</v>
      </c>
      <c r="CD184" s="464">
        <v>459545.75</v>
      </c>
      <c r="CE184" s="464">
        <v>227000</v>
      </c>
      <c r="CF184" s="464">
        <v>4700</v>
      </c>
      <c r="CG184" s="464">
        <v>231700</v>
      </c>
    </row>
    <row r="185" spans="80:85" ht="12.75">
      <c r="CB185" s="464">
        <v>795</v>
      </c>
      <c r="CC185" s="465" t="s">
        <v>476</v>
      </c>
      <c r="CD185" s="464">
        <v>78730.53125</v>
      </c>
      <c r="CE185" s="464">
        <v>1360</v>
      </c>
      <c r="CF185" s="464">
        <v>59500</v>
      </c>
      <c r="CG185" s="464">
        <v>60860</v>
      </c>
    </row>
    <row r="186" spans="80:85" ht="12.75">
      <c r="CB186" s="464">
        <v>800</v>
      </c>
      <c r="CC186" s="465" t="s">
        <v>477</v>
      </c>
      <c r="CD186" s="464">
        <v>284499.5</v>
      </c>
      <c r="CE186" s="464">
        <v>39000</v>
      </c>
      <c r="CF186" s="464">
        <v>27000</v>
      </c>
      <c r="CG186" s="464">
        <v>66000</v>
      </c>
    </row>
    <row r="187" spans="80:85" ht="12.75">
      <c r="CB187" s="464">
        <v>804</v>
      </c>
      <c r="CC187" s="465" t="s">
        <v>478</v>
      </c>
      <c r="CD187" s="464">
        <v>340969.75</v>
      </c>
      <c r="CE187" s="464">
        <v>53100</v>
      </c>
      <c r="CF187" s="464">
        <v>86450</v>
      </c>
      <c r="CG187" s="464">
        <v>139550</v>
      </c>
    </row>
    <row r="188" spans="80:85" ht="25.5">
      <c r="CB188" s="464">
        <v>784</v>
      </c>
      <c r="CC188" s="465" t="s">
        <v>479</v>
      </c>
      <c r="CD188" s="464">
        <v>6529.16015625</v>
      </c>
      <c r="CE188" s="464">
        <v>150</v>
      </c>
      <c r="CF188" s="464">
        <v>0</v>
      </c>
      <c r="CG188" s="464">
        <v>150</v>
      </c>
    </row>
    <row r="189" spans="80:85" ht="12.75">
      <c r="CB189" s="464">
        <v>826</v>
      </c>
      <c r="CC189" s="465" t="s">
        <v>480</v>
      </c>
      <c r="CD189" s="464">
        <v>296325.90625</v>
      </c>
      <c r="CE189" s="464">
        <v>145000</v>
      </c>
      <c r="CF189" s="464">
        <v>2000</v>
      </c>
      <c r="CG189" s="464">
        <v>147000</v>
      </c>
    </row>
    <row r="190" spans="80:85" ht="25.5">
      <c r="CB190" s="464">
        <v>834</v>
      </c>
      <c r="CC190" s="465" t="s">
        <v>481</v>
      </c>
      <c r="CD190" s="464">
        <v>1012191.375</v>
      </c>
      <c r="CE190" s="464">
        <v>82000</v>
      </c>
      <c r="CF190" s="464">
        <v>9000</v>
      </c>
      <c r="CG190" s="464">
        <v>91000</v>
      </c>
    </row>
    <row r="191" spans="80:85" ht="12.75">
      <c r="CB191" s="464">
        <v>840</v>
      </c>
      <c r="CC191" s="465" t="s">
        <v>482</v>
      </c>
      <c r="CD191" s="464">
        <v>7087010</v>
      </c>
      <c r="CE191" s="464">
        <v>2818400</v>
      </c>
      <c r="CF191" s="464">
        <v>251000</v>
      </c>
      <c r="CG191" s="464">
        <v>3069400</v>
      </c>
    </row>
    <row r="192" spans="80:85" ht="12.75">
      <c r="CB192" s="464">
        <v>858</v>
      </c>
      <c r="CC192" s="465" t="s">
        <v>483</v>
      </c>
      <c r="CD192" s="464">
        <v>222865.4375</v>
      </c>
      <c r="CE192" s="464">
        <v>59000</v>
      </c>
      <c r="CF192" s="464">
        <v>80000</v>
      </c>
      <c r="CG192" s="464">
        <v>139000</v>
      </c>
    </row>
    <row r="193" spans="80:85" ht="12.75">
      <c r="CB193" s="464">
        <v>860</v>
      </c>
      <c r="CC193" s="465" t="s">
        <v>484</v>
      </c>
      <c r="CD193" s="464">
        <v>92298.6171875</v>
      </c>
      <c r="CE193" s="464">
        <v>16340</v>
      </c>
      <c r="CF193" s="464">
        <v>55870</v>
      </c>
      <c r="CG193" s="464">
        <v>72210</v>
      </c>
    </row>
    <row r="194" spans="80:85" ht="12.75">
      <c r="CB194" s="464">
        <v>862</v>
      </c>
      <c r="CC194" s="465" t="s">
        <v>485</v>
      </c>
      <c r="CD194" s="464">
        <v>1710093.75</v>
      </c>
      <c r="CE194" s="464">
        <v>722451</v>
      </c>
      <c r="CF194" s="464">
        <v>510719</v>
      </c>
      <c r="CG194" s="464">
        <v>1233170</v>
      </c>
    </row>
    <row r="195" spans="80:85" ht="12.75">
      <c r="CB195" s="464">
        <v>704</v>
      </c>
      <c r="CC195" s="465" t="s">
        <v>486</v>
      </c>
      <c r="CD195" s="464">
        <v>604007.5</v>
      </c>
      <c r="CE195" s="464">
        <v>366500</v>
      </c>
      <c r="CF195" s="464">
        <v>524710</v>
      </c>
      <c r="CG195" s="464">
        <v>891210</v>
      </c>
    </row>
    <row r="196" spans="80:85" ht="12.75">
      <c r="CB196" s="464">
        <v>887</v>
      </c>
      <c r="CC196" s="465" t="s">
        <v>487</v>
      </c>
      <c r="CD196" s="464">
        <v>88329.3828125</v>
      </c>
      <c r="CE196" s="464">
        <v>4100</v>
      </c>
      <c r="CF196" s="464">
        <v>0</v>
      </c>
      <c r="CG196" s="464">
        <v>4100</v>
      </c>
    </row>
    <row r="197" spans="80:85" ht="12.75">
      <c r="CB197" s="464">
        <v>894</v>
      </c>
      <c r="CC197" s="465" t="s">
        <v>488</v>
      </c>
      <c r="CD197" s="464">
        <v>767436.4375</v>
      </c>
      <c r="CE197" s="464">
        <v>80200</v>
      </c>
      <c r="CF197" s="464">
        <v>25000</v>
      </c>
      <c r="CG197" s="464">
        <v>105200</v>
      </c>
    </row>
    <row r="198" spans="80:85" ht="12.75">
      <c r="CB198" s="464">
        <v>716</v>
      </c>
      <c r="CC198" s="465" t="s">
        <v>489</v>
      </c>
      <c r="CD198" s="464">
        <v>270523.15625</v>
      </c>
      <c r="CE198" s="464">
        <v>14100</v>
      </c>
      <c r="CF198" s="464">
        <v>5900</v>
      </c>
      <c r="CG198" s="464">
        <v>20000</v>
      </c>
    </row>
  </sheetData>
  <sheetProtection sheet="1" objects="1" scenarios="1" formatCells="0" formatColumns="0" formatRows="0" insertColumns="0"/>
  <mergeCells count="41">
    <mergeCell ref="D19:AN19"/>
    <mergeCell ref="CB5:CG5"/>
    <mergeCell ref="C5:AJ5"/>
    <mergeCell ref="D32:AN32"/>
    <mergeCell ref="D16:AN16"/>
    <mergeCell ref="D17:AN17"/>
    <mergeCell ref="D30:AN30"/>
    <mergeCell ref="D20:AN20"/>
    <mergeCell ref="U22:Y22"/>
    <mergeCell ref="AB26:AF26"/>
    <mergeCell ref="V26:Y26"/>
    <mergeCell ref="D46:AN46"/>
    <mergeCell ref="D47:AN47"/>
    <mergeCell ref="D48:AN48"/>
    <mergeCell ref="D42:AN42"/>
    <mergeCell ref="D43:AN43"/>
    <mergeCell ref="D44:AN44"/>
    <mergeCell ref="D45:AN45"/>
    <mergeCell ref="D38:AN38"/>
    <mergeCell ref="D39:AN39"/>
    <mergeCell ref="C53:AI54"/>
    <mergeCell ref="D49:AN49"/>
    <mergeCell ref="D50:AN50"/>
    <mergeCell ref="D51:AN51"/>
    <mergeCell ref="D52:AN52"/>
    <mergeCell ref="D40:AN40"/>
    <mergeCell ref="D41:AN41"/>
    <mergeCell ref="D34:AN34"/>
    <mergeCell ref="D35:AN35"/>
    <mergeCell ref="D36:AN36"/>
    <mergeCell ref="D37:AN37"/>
    <mergeCell ref="AP3:BZ3"/>
    <mergeCell ref="AP6:BZ6"/>
    <mergeCell ref="AP15:BZ15"/>
    <mergeCell ref="D33:AN33"/>
    <mergeCell ref="C4:AN4"/>
    <mergeCell ref="D18:AN18"/>
    <mergeCell ref="D31:AN31"/>
    <mergeCell ref="F22:H22"/>
    <mergeCell ref="F26:H26"/>
    <mergeCell ref="G24:V24"/>
  </mergeCells>
  <conditionalFormatting sqref="AB10 P10 R10 T10 V10 X10 Z10 AD10 AF10 AH10 AJ10 AL10 F10">
    <cfRule type="cellIs" priority="1" dxfId="0" operator="lessThan" stopIfTrue="1">
      <formula>F8-F9</formula>
    </cfRule>
  </conditionalFormatting>
  <conditionalFormatting sqref="AL12 P12 R12 T12 V12 X12 Z12 AD12 AF12 AH12 AJ12 F12">
    <cfRule type="cellIs" priority="2" dxfId="0" operator="lessThan" stopIfTrue="1">
      <formula>F10+F11</formula>
    </cfRule>
  </conditionalFormatting>
  <conditionalFormatting sqref="AT27">
    <cfRule type="cellIs" priority="3" dxfId="1" operator="lessThan" stopIfTrue="1">
      <formula>AS13+AS12+#REF!+#REF!</formula>
    </cfRule>
    <cfRule type="cellIs" priority="4" dxfId="1" operator="lessThan" stopIfTrue="1">
      <formula>#REF!</formula>
    </cfRule>
  </conditionalFormatting>
  <conditionalFormatting sqref="BL27">
    <cfRule type="cellIs" priority="5" dxfId="0" operator="lessThan" stopIfTrue="1">
      <formula>BK13+BK14+BK15+BK16+BL17+#REF!+BL19</formula>
    </cfRule>
  </conditionalFormatting>
  <conditionalFormatting sqref="AZ27 BB27 BD27 BF27 BH27 BJ27 BN27 BP27 BR27 BT27 AV27 AX27">
    <cfRule type="cellIs" priority="6" dxfId="1" operator="lessThan" stopIfTrue="1">
      <formula>AU13+AU12+#REF!+#REF!</formula>
    </cfRule>
    <cfRule type="cellIs" priority="7" dxfId="1" operator="lessThan" stopIfTrue="1">
      <formula>AV30/1000</formula>
    </cfRule>
  </conditionalFormatting>
  <conditionalFormatting sqref="AT21">
    <cfRule type="cellIs" priority="8" dxfId="1" operator="lessThan" stopIfTrue="1">
      <formula>AS12+AS11+#REF!+#REF!</formula>
    </cfRule>
    <cfRule type="cellIs" priority="9" dxfId="1" operator="lessThan" stopIfTrue="1">
      <formula>#REF!</formula>
    </cfRule>
  </conditionalFormatting>
  <conditionalFormatting sqref="AT24:AT26 AT28 AT30">
    <cfRule type="cellIs" priority="10" dxfId="1" operator="lessThan" stopIfTrue="1">
      <formula>AS14+AS13+#REF!+#REF!</formula>
    </cfRule>
    <cfRule type="cellIs" priority="11" dxfId="1" operator="lessThan" stopIfTrue="1">
      <formula>#REF!</formula>
    </cfRule>
  </conditionalFormatting>
  <conditionalFormatting sqref="BL21">
    <cfRule type="cellIs" priority="12" dxfId="0" operator="lessThan" stopIfTrue="1">
      <formula>BK12+BK13+BK14+BK15+BL16+#REF!+BL18</formula>
    </cfRule>
  </conditionalFormatting>
  <conditionalFormatting sqref="BL30 BL28 BL24:BL26">
    <cfRule type="cellIs" priority="13"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4" dxfId="1" operator="lessThan" stopIfTrue="1">
      <formula>AU14+AU13+#REF!+#REF!</formula>
    </cfRule>
    <cfRule type="cellIs" priority="15" dxfId="1" operator="lessThan" stopIfTrue="1">
      <formula>AV31/1000</formula>
    </cfRule>
  </conditionalFormatting>
  <conditionalFormatting sqref="AZ21 BB21 BD21 BF21 BH21 BJ21 BN21 BP21 BR21 BT21 AV21 AX21">
    <cfRule type="cellIs" priority="16" dxfId="1" operator="lessThan" stopIfTrue="1">
      <formula>AU12+AU11+#REF!+#REF!</formula>
    </cfRule>
    <cfRule type="cellIs" priority="17" dxfId="1" operator="lessThan" stopIfTrue="1">
      <formula>AV29/1000</formula>
    </cfRule>
  </conditionalFormatting>
  <conditionalFormatting sqref="AB12">
    <cfRule type="cellIs" priority="18" dxfId="0" operator="lessThan" stopIfTrue="1">
      <formula>$AB$10+$AB$11</formula>
    </cfRule>
  </conditionalFormatting>
  <conditionalFormatting sqref="AS36 AP8:AP13 AS33 AP28 AR28 AP35:AP36 BZ31:BZ37 AR25:AR26 AP24:AP25 BX31:BX37 AV31:AV37 AX31:AZ37 BB31:BB37 BD31:BD37 BF31:BF37 BH31:BH37 BJ31:BJ37 BL31:BL37 BN31:BN37 BP31:BP37 BR31:BR37 BT31:BT37 BV31:BV37 AR30:AR31 AT31:AT37 AP17:AP18 AP20:AP22 AP30 AP32:AP33 C8:C13">
    <cfRule type="cellIs" priority="19" dxfId="0" operator="between" stopIfTrue="1">
      <formula>1</formula>
      <formula>4</formula>
    </cfRule>
  </conditionalFormatting>
  <conditionalFormatting sqref="AS23:BY23 AS19:BZ19">
    <cfRule type="cellIs" priority="20" dxfId="0" operator="equal" stopIfTrue="1">
      <formula>"&lt;&gt;"</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&amp;C&amp;"Arial,Regular"&amp;8Questionnaire UNSD/PNUE 2010 sur les Statistiques de l’environnement - Section d'eau - p.&amp;P</oddFooter>
  </headerFooter>
  <rowBreaks count="1" manualBreakCount="1">
    <brk id="27" min="2" max="39" man="1"/>
  </rowBreaks>
  <ignoredErrors>
    <ignoredError sqref="AS33:AS34 AS25:AS26 AS30:AS31 AS36:AS37" evalError="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2"/>
  <sheetViews>
    <sheetView showGridLines="0" zoomScale="85" zoomScaleNormal="85" zoomScaleSheetLayoutView="80" workbookViewId="0" topLeftCell="C1">
      <selection activeCell="B6" sqref="B6:D6"/>
    </sheetView>
  </sheetViews>
  <sheetFormatPr defaultColWidth="9.33203125" defaultRowHeight="12.75"/>
  <cols>
    <col min="1" max="1" width="0.4921875" style="399" hidden="1" customWidth="1"/>
    <col min="2" max="2" width="3.66015625" style="398" hidden="1" customWidth="1"/>
    <col min="3" max="3" width="11.16015625" style="50" customWidth="1"/>
    <col min="4" max="4" width="49.83203125" style="50" customWidth="1"/>
    <col min="5" max="5" width="10" style="50" customWidth="1"/>
    <col min="6" max="6" width="9.16015625" style="50" customWidth="1"/>
    <col min="7" max="7" width="1.83203125" style="161" customWidth="1"/>
    <col min="8" max="8" width="7" style="177" customWidth="1"/>
    <col min="9" max="9" width="1.83203125" style="165" customWidth="1"/>
    <col min="10" max="10" width="7" style="177" hidden="1" customWidth="1"/>
    <col min="11" max="11" width="1.83203125" style="165" hidden="1" customWidth="1"/>
    <col min="12" max="12" width="7" style="177" hidden="1" customWidth="1"/>
    <col min="13" max="13" width="1.83203125" style="165" hidden="1" customWidth="1"/>
    <col min="14" max="14" width="7" style="177" hidden="1" customWidth="1"/>
    <col min="15" max="15" width="1.83203125" style="165" hidden="1" customWidth="1"/>
    <col min="16" max="16" width="7" style="177" hidden="1" customWidth="1"/>
    <col min="17" max="17" width="1.83203125" style="161" hidden="1" customWidth="1"/>
    <col min="18" max="18" width="7" style="177" customWidth="1"/>
    <col min="19" max="19" width="1.83203125" style="161" customWidth="1"/>
    <col min="20" max="20" width="7" style="177" customWidth="1"/>
    <col min="21" max="21" width="1.83203125" style="161" customWidth="1"/>
    <col min="22" max="22" width="7" style="177" customWidth="1"/>
    <col min="23" max="23" width="1.83203125" style="161" customWidth="1"/>
    <col min="24" max="24" width="7" style="177" customWidth="1"/>
    <col min="25" max="25" width="1.83203125" style="161" customWidth="1"/>
    <col min="26" max="26" width="7" style="177" customWidth="1"/>
    <col min="27" max="27" width="1.83203125" style="161" customWidth="1"/>
    <col min="28" max="28" width="7" style="177" customWidth="1"/>
    <col min="29" max="29" width="1.83203125" style="165" customWidth="1"/>
    <col min="30" max="30" width="7" style="177" customWidth="1"/>
    <col min="31" max="31" width="1.83203125" style="161" customWidth="1"/>
    <col min="32" max="32" width="7" style="177" customWidth="1"/>
    <col min="33" max="33" width="1.83203125" style="161" customWidth="1"/>
    <col min="34" max="34" width="7" style="177" customWidth="1"/>
    <col min="35" max="35" width="1.83203125" style="161" customWidth="1"/>
    <col min="36" max="36" width="7" style="177" customWidth="1"/>
    <col min="37" max="37" width="1.83203125" style="215" customWidth="1"/>
    <col min="38" max="38" width="3" style="215" customWidth="1"/>
    <col min="39" max="39" width="4.5" style="359" customWidth="1"/>
    <col min="40" max="40" width="7.66015625" style="359" customWidth="1"/>
    <col min="41" max="41" width="41.33203125" style="359" customWidth="1"/>
    <col min="42" max="43" width="9.33203125" style="359" customWidth="1"/>
    <col min="44" max="44" width="1.83203125" style="359" customWidth="1"/>
    <col min="45" max="45" width="9.33203125" style="359" customWidth="1"/>
    <col min="46" max="46" width="1.83203125" style="359" customWidth="1"/>
    <col min="47" max="47" width="9.33203125" style="359" customWidth="1"/>
    <col min="48" max="48" width="1.83203125" style="359" customWidth="1"/>
    <col min="49" max="49" width="9.33203125" style="359" customWidth="1"/>
    <col min="50" max="50" width="1.83203125" style="359" customWidth="1"/>
    <col min="51" max="51" width="9.33203125" style="359" customWidth="1"/>
    <col min="52" max="52" width="1.83203125" style="359" customWidth="1"/>
    <col min="53" max="53" width="9.33203125" style="359" customWidth="1"/>
    <col min="54" max="54" width="1.83203125" style="359" customWidth="1"/>
    <col min="55" max="55" width="9.33203125" style="359" customWidth="1"/>
    <col min="56" max="56" width="1.83203125" style="359" customWidth="1"/>
    <col min="57" max="57" width="9.33203125" style="359" customWidth="1"/>
    <col min="58" max="58" width="1.83203125" style="359" customWidth="1"/>
    <col min="59" max="59" width="9.33203125" style="359" customWidth="1"/>
    <col min="60" max="60" width="1.83203125" style="359" customWidth="1"/>
    <col min="61" max="61" width="9.33203125" style="359" customWidth="1"/>
    <col min="62" max="62" width="1.83203125" style="359" customWidth="1"/>
    <col min="63" max="63" width="9.33203125" style="359" customWidth="1"/>
    <col min="64" max="64" width="1.83203125" style="359" customWidth="1"/>
    <col min="65" max="65" width="9.33203125" style="359" customWidth="1"/>
    <col min="66" max="66" width="1.83203125" style="359" customWidth="1"/>
    <col min="67" max="67" width="9.33203125" style="359" customWidth="1"/>
    <col min="68" max="68" width="1.83203125" style="359" customWidth="1"/>
    <col min="69" max="69" width="9.33203125" style="359" customWidth="1"/>
    <col min="70" max="70" width="1.83203125" style="359" customWidth="1"/>
    <col min="71" max="71" width="9.33203125" style="359" customWidth="1"/>
    <col min="72" max="72" width="1.83203125" style="359" customWidth="1"/>
    <col min="73" max="73" width="9.33203125" style="359" customWidth="1"/>
    <col min="74" max="74" width="1.83203125" style="359" customWidth="1"/>
    <col min="75" max="88" width="9.33203125" style="359" customWidth="1"/>
    <col min="89" max="16384" width="9.33203125" style="215" customWidth="1"/>
  </cols>
  <sheetData>
    <row r="1" spans="1:74" ht="16.5" customHeight="1">
      <c r="A1" s="397"/>
      <c r="B1" s="398">
        <v>0</v>
      </c>
      <c r="C1" s="113" t="s">
        <v>263</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6"/>
      <c r="AL1" s="236"/>
      <c r="AN1" s="437" t="s">
        <v>52</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6" customHeight="1">
      <c r="C2" s="80"/>
      <c r="D2" s="80"/>
      <c r="E2" s="1"/>
      <c r="F2" s="1"/>
      <c r="G2" s="172"/>
      <c r="H2" s="195"/>
      <c r="I2" s="173"/>
      <c r="J2" s="195"/>
      <c r="K2" s="173"/>
      <c r="L2" s="195"/>
      <c r="M2" s="173"/>
      <c r="N2" s="195"/>
      <c r="O2" s="173"/>
      <c r="P2" s="195"/>
      <c r="Q2" s="163"/>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88" s="276" customFormat="1" ht="18" customHeight="1">
      <c r="A3" s="400"/>
      <c r="B3" s="400"/>
      <c r="C3" s="127" t="s">
        <v>57</v>
      </c>
      <c r="D3" s="603"/>
      <c r="E3" s="587"/>
      <c r="F3" s="588"/>
      <c r="G3" s="163"/>
      <c r="H3" s="183"/>
      <c r="I3" s="167"/>
      <c r="J3" s="183"/>
      <c r="K3" s="167"/>
      <c r="L3" s="183"/>
      <c r="M3" s="167"/>
      <c r="N3" s="183"/>
      <c r="O3" s="167"/>
      <c r="P3" s="183"/>
      <c r="Q3" s="163"/>
      <c r="R3" s="183"/>
      <c r="S3" s="163"/>
      <c r="T3" s="183"/>
      <c r="U3" s="163"/>
      <c r="V3" s="274"/>
      <c r="W3" s="127" t="s">
        <v>32</v>
      </c>
      <c r="X3" s="188"/>
      <c r="Y3" s="169"/>
      <c r="Z3" s="188"/>
      <c r="AA3" s="171"/>
      <c r="AB3" s="188"/>
      <c r="AC3" s="169"/>
      <c r="AD3" s="188"/>
      <c r="AE3" s="169"/>
      <c r="AF3" s="188"/>
      <c r="AG3" s="169"/>
      <c r="AH3" s="188"/>
      <c r="AI3" s="13"/>
      <c r="AJ3" s="589"/>
      <c r="AK3" s="589"/>
      <c r="AL3" s="547"/>
      <c r="AM3" s="360"/>
      <c r="AN3" s="689" t="s">
        <v>53</v>
      </c>
      <c r="AO3" s="689"/>
      <c r="AP3" s="689"/>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362"/>
      <c r="BX3" s="362"/>
      <c r="BY3" s="361"/>
      <c r="BZ3" s="361"/>
      <c r="CA3" s="361"/>
      <c r="CB3" s="361"/>
      <c r="CC3" s="361"/>
      <c r="CD3" s="361"/>
      <c r="CE3" s="361"/>
      <c r="CF3" s="361"/>
      <c r="CG3" s="361"/>
      <c r="CH3" s="361"/>
      <c r="CI3" s="361"/>
      <c r="CJ3" s="361"/>
    </row>
    <row r="4" spans="1:74" ht="3" customHeight="1">
      <c r="A4" s="401"/>
      <c r="C4" s="80"/>
      <c r="D4" s="80"/>
      <c r="E4" s="3"/>
      <c r="F4" s="3"/>
      <c r="AE4" s="172"/>
      <c r="AF4" s="195"/>
      <c r="AK4" s="80"/>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2:74" ht="17.25" customHeight="1">
      <c r="B5" s="402">
        <v>16</v>
      </c>
      <c r="C5" s="682" t="s">
        <v>58</v>
      </c>
      <c r="D5" s="682"/>
      <c r="E5" s="683"/>
      <c r="F5" s="683"/>
      <c r="G5" s="683"/>
      <c r="H5" s="684"/>
      <c r="I5" s="684"/>
      <c r="J5" s="684"/>
      <c r="K5" s="684"/>
      <c r="L5" s="684"/>
      <c r="M5" s="684"/>
      <c r="N5" s="684"/>
      <c r="O5" s="684"/>
      <c r="P5" s="684"/>
      <c r="Q5" s="683"/>
      <c r="R5" s="684"/>
      <c r="S5" s="683"/>
      <c r="T5" s="684"/>
      <c r="U5" s="683"/>
      <c r="V5" s="684"/>
      <c r="W5" s="683"/>
      <c r="X5" s="684"/>
      <c r="Y5" s="683"/>
      <c r="Z5" s="684"/>
      <c r="AA5" s="683"/>
      <c r="AB5" s="684"/>
      <c r="AC5" s="684"/>
      <c r="AD5" s="684"/>
      <c r="AE5" s="683"/>
      <c r="AF5" s="684"/>
      <c r="AG5" s="683"/>
      <c r="AH5" s="194"/>
      <c r="AI5" s="234"/>
      <c r="AJ5" s="194"/>
      <c r="AK5" s="557"/>
      <c r="AL5" s="235"/>
      <c r="AN5" s="480" t="s">
        <v>54</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3:74" ht="17.25" customHeight="1">
      <c r="C6" s="80"/>
      <c r="D6" s="80"/>
      <c r="E6" s="2"/>
      <c r="F6" s="2"/>
      <c r="R6" s="590" t="s">
        <v>34</v>
      </c>
      <c r="T6" s="262"/>
      <c r="U6" s="263"/>
      <c r="V6" s="262"/>
      <c r="W6" s="264"/>
      <c r="X6" s="262"/>
      <c r="Y6" s="264"/>
      <c r="Z6" s="262"/>
      <c r="AA6" s="265"/>
      <c r="AC6" s="161"/>
      <c r="AD6" s="349"/>
      <c r="AE6" s="349"/>
      <c r="AF6" s="349"/>
      <c r="AG6" s="349"/>
      <c r="AH6" s="349"/>
      <c r="AI6" s="349"/>
      <c r="AJ6" s="349"/>
      <c r="AK6" s="350" t="s">
        <v>35</v>
      </c>
      <c r="AL6" s="8"/>
      <c r="AN6" s="690" t="s">
        <v>80</v>
      </c>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0"/>
      <c r="BU6" s="690"/>
      <c r="BV6" s="690"/>
    </row>
    <row r="7" spans="1:88" s="16" customFormat="1" ht="21.75" customHeight="1">
      <c r="A7" s="403"/>
      <c r="B7" s="403">
        <v>2</v>
      </c>
      <c r="C7" s="64" t="s">
        <v>36</v>
      </c>
      <c r="D7" s="64" t="s">
        <v>37</v>
      </c>
      <c r="E7" s="63" t="s">
        <v>38</v>
      </c>
      <c r="F7" s="135">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M7" s="375"/>
      <c r="AN7" s="63" t="s">
        <v>157</v>
      </c>
      <c r="AO7" s="63" t="s">
        <v>164</v>
      </c>
      <c r="AP7" s="63" t="s">
        <v>166</v>
      </c>
      <c r="AQ7" s="135">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c r="BW7" s="375"/>
      <c r="BX7" s="375"/>
      <c r="BY7" s="375"/>
      <c r="BZ7" s="375"/>
      <c r="CA7" s="375"/>
      <c r="CB7" s="375"/>
      <c r="CC7" s="375"/>
      <c r="CD7" s="375"/>
      <c r="CE7" s="375"/>
      <c r="CF7" s="375"/>
      <c r="CG7" s="375"/>
      <c r="CH7" s="375"/>
      <c r="CI7" s="375"/>
      <c r="CJ7" s="375"/>
    </row>
    <row r="8" spans="1:88" s="126" customFormat="1" ht="12" customHeight="1">
      <c r="A8" s="401"/>
      <c r="B8" s="398">
        <v>5016</v>
      </c>
      <c r="C8" s="59"/>
      <c r="D8" s="76" t="s">
        <v>59</v>
      </c>
      <c r="E8" s="59"/>
      <c r="F8" s="147"/>
      <c r="G8" s="192"/>
      <c r="H8" s="147"/>
      <c r="I8" s="192"/>
      <c r="J8" s="147"/>
      <c r="K8" s="192"/>
      <c r="L8" s="147"/>
      <c r="M8" s="192"/>
      <c r="N8" s="147"/>
      <c r="O8" s="192"/>
      <c r="P8" s="142"/>
      <c r="Q8" s="192"/>
      <c r="R8" s="142"/>
      <c r="S8" s="192"/>
      <c r="T8" s="142"/>
      <c r="U8" s="192"/>
      <c r="V8" s="142"/>
      <c r="W8" s="192"/>
      <c r="X8" s="142"/>
      <c r="Y8" s="192"/>
      <c r="Z8" s="142"/>
      <c r="AA8" s="192"/>
      <c r="AB8" s="147"/>
      <c r="AC8" s="192"/>
      <c r="AD8" s="142"/>
      <c r="AE8" s="192"/>
      <c r="AF8" s="142"/>
      <c r="AG8" s="192"/>
      <c r="AH8" s="142"/>
      <c r="AI8" s="192"/>
      <c r="AJ8" s="142"/>
      <c r="AK8" s="192"/>
      <c r="AM8" s="324"/>
      <c r="AN8" s="59"/>
      <c r="AO8" s="76" t="s">
        <v>545</v>
      </c>
      <c r="AP8" s="59"/>
      <c r="AQ8" s="147"/>
      <c r="AR8" s="192"/>
      <c r="AS8" s="147"/>
      <c r="AT8" s="192"/>
      <c r="AU8" s="147"/>
      <c r="AV8" s="192"/>
      <c r="AW8" s="147"/>
      <c r="AX8" s="192"/>
      <c r="AY8" s="147"/>
      <c r="AZ8" s="192"/>
      <c r="BA8" s="142"/>
      <c r="BB8" s="192"/>
      <c r="BC8" s="142"/>
      <c r="BD8" s="192"/>
      <c r="BE8" s="142"/>
      <c r="BF8" s="192"/>
      <c r="BG8" s="142"/>
      <c r="BH8" s="192"/>
      <c r="BI8" s="142"/>
      <c r="BJ8" s="192"/>
      <c r="BK8" s="142"/>
      <c r="BL8" s="192"/>
      <c r="BM8" s="147"/>
      <c r="BN8" s="192"/>
      <c r="BO8" s="142"/>
      <c r="BP8" s="192"/>
      <c r="BQ8" s="142"/>
      <c r="BR8" s="192"/>
      <c r="BS8" s="142"/>
      <c r="BT8" s="192"/>
      <c r="BU8" s="142"/>
      <c r="BV8" s="192"/>
      <c r="BW8" s="309"/>
      <c r="BX8" s="309"/>
      <c r="BY8" s="309"/>
      <c r="BZ8" s="309"/>
      <c r="CA8" s="309"/>
      <c r="CB8" s="309"/>
      <c r="CC8" s="309"/>
      <c r="CD8" s="309"/>
      <c r="CE8" s="309"/>
      <c r="CF8" s="309"/>
      <c r="CG8" s="309"/>
      <c r="CH8" s="309"/>
      <c r="CI8" s="309"/>
      <c r="CJ8" s="309"/>
    </row>
    <row r="9" spans="1:88" s="74" customFormat="1" ht="23.25" customHeight="1">
      <c r="A9" s="403" t="s">
        <v>627</v>
      </c>
      <c r="B9" s="404">
        <v>5001</v>
      </c>
      <c r="C9" s="69">
        <v>1</v>
      </c>
      <c r="D9" s="220" t="s">
        <v>60</v>
      </c>
      <c r="E9" s="62" t="s">
        <v>40</v>
      </c>
      <c r="F9" s="146"/>
      <c r="G9" s="185"/>
      <c r="H9" s="535"/>
      <c r="I9" s="526"/>
      <c r="J9" s="535"/>
      <c r="K9" s="526"/>
      <c r="L9" s="535"/>
      <c r="M9" s="526"/>
      <c r="N9" s="535"/>
      <c r="O9" s="526"/>
      <c r="P9" s="535"/>
      <c r="Q9" s="526"/>
      <c r="R9" s="535"/>
      <c r="S9" s="185"/>
      <c r="T9" s="146"/>
      <c r="U9" s="185"/>
      <c r="V9" s="146"/>
      <c r="W9" s="185"/>
      <c r="X9" s="146"/>
      <c r="Y9" s="185"/>
      <c r="Z9" s="146"/>
      <c r="AA9" s="185"/>
      <c r="AB9" s="146"/>
      <c r="AC9" s="185"/>
      <c r="AD9" s="146"/>
      <c r="AE9" s="185"/>
      <c r="AF9" s="146"/>
      <c r="AG9" s="185"/>
      <c r="AH9" s="146"/>
      <c r="AI9" s="185"/>
      <c r="AJ9" s="146"/>
      <c r="AK9" s="185"/>
      <c r="AM9" s="388"/>
      <c r="AN9" s="379">
        <v>1</v>
      </c>
      <c r="AO9" s="389" t="s">
        <v>151</v>
      </c>
      <c r="AP9" s="310" t="s">
        <v>169</v>
      </c>
      <c r="AQ9" s="370" t="s">
        <v>644</v>
      </c>
      <c r="AR9" s="313"/>
      <c r="AS9" s="325" t="str">
        <f>IF(OR(ISBLANK(F9),ISBLANK(H9)),"N/A",IF(ABS((H9-F9)/F9)&gt;1,"&gt; 100%","ok"))</f>
        <v>N/A</v>
      </c>
      <c r="AT9" s="313"/>
      <c r="AU9" s="325" t="str">
        <f>IF(OR(ISBLANK(H9),ISBLANK(J9)),"N/A",IF(ABS((J9-H9)/H9)&gt;0.25,"&gt; 25%","ok"))</f>
        <v>N/A</v>
      </c>
      <c r="AV9" s="325"/>
      <c r="AW9" s="325" t="str">
        <f>IF(OR(ISBLANK(J9),ISBLANK(L9)),"N/A",IF(ABS((L9-J9)/J9)&gt;0.25,"&gt; 25%","ok"))</f>
        <v>N/A</v>
      </c>
      <c r="AX9" s="325"/>
      <c r="AY9" s="325" t="str">
        <f>IF(OR(ISBLANK(L9),ISBLANK(N9)),"N/A",IF(ABS((N9-L9)/L9)&gt;0.25,"&gt; 25%","ok"))</f>
        <v>N/A</v>
      </c>
      <c r="AZ9" s="325"/>
      <c r="BA9" s="325" t="str">
        <f>IF(OR(ISBLANK(N9),ISBLANK(P9)),"N/A",IF(ABS((P9-N9)/N9)&gt;0.25,"&gt; 25%","ok"))</f>
        <v>N/A</v>
      </c>
      <c r="BB9" s="325"/>
      <c r="BC9" s="325" t="str">
        <f>IF(OR(ISBLANK(P9),ISBLANK(R9)),"N/A",IF(ABS((R9-P9)/P9)&gt;0.25,"&gt; 25%","ok"))</f>
        <v>N/A</v>
      </c>
      <c r="BD9" s="325"/>
      <c r="BE9" s="325" t="str">
        <f>IF(OR(ISBLANK(R9),ISBLANK(T9)),"N/A",IF(ABS((T9-R9)/R9)&gt;0.25,"&gt; 25%","ok"))</f>
        <v>N/A</v>
      </c>
      <c r="BF9" s="325"/>
      <c r="BG9" s="325" t="str">
        <f>IF(OR(ISBLANK(T9),ISBLANK(V9)),"N/A",IF(ABS((V9-T9)/T9)&gt;0.25,"&gt; 25%","ok"))</f>
        <v>N/A</v>
      </c>
      <c r="BH9" s="325"/>
      <c r="BI9" s="325" t="str">
        <f>IF(OR(ISBLANK(V9),ISBLANK(X9)),"N/A",IF(ABS((X9-V9)/V9)&gt;0.25,"&gt; 25%","ok"))</f>
        <v>N/A</v>
      </c>
      <c r="BJ9" s="325"/>
      <c r="BK9" s="325" t="str">
        <f>IF(OR(ISBLANK(X9),ISBLANK(Z9)),"N/A",IF(ABS((Z9-X9)/X9)&gt;0.25,"&gt; 25%","ok"))</f>
        <v>N/A</v>
      </c>
      <c r="BL9" s="325"/>
      <c r="BM9" s="325" t="str">
        <f>IF(OR(ISBLANK(Z9),ISBLANK(AB9)),"N/A",IF(ABS((AB9-Z9)/Z9)&gt;0.25,"&gt; 25%","ok"))</f>
        <v>N/A</v>
      </c>
      <c r="BN9" s="325"/>
      <c r="BO9" s="325" t="str">
        <f>IF(OR(ISBLANK(AB9),ISBLANK(AD9)),"N/A",IF(ABS((AD9-AB9)/AB9)&gt;0.25,"&gt; 25%","ok"))</f>
        <v>N/A</v>
      </c>
      <c r="BP9" s="325"/>
      <c r="BQ9" s="325" t="str">
        <f>IF(OR(ISBLANK(AD9),ISBLANK(AF9)),"N/A",IF(ABS((AF9-AD9)/AD9)&gt;0.25,"&gt; 25%","ok"))</f>
        <v>N/A</v>
      </c>
      <c r="BR9" s="325"/>
      <c r="BS9" s="325" t="str">
        <f>IF(OR(ISBLANK(AF9),ISBLANK(AH9)),"N/A",IF(ABS((AH9-AF9)/AF9)&gt;0.25,"&gt; 25%","ok"))</f>
        <v>N/A</v>
      </c>
      <c r="BT9" s="325"/>
      <c r="BU9" s="325" t="str">
        <f>IF(OR(ISBLANK(AH9),ISBLANK(AJ9)),"N/A",IF(ABS((AJ9-AH9)/AH9)&gt;0.25,"&gt; 25%","ok"))</f>
        <v>N/A</v>
      </c>
      <c r="BV9" s="325"/>
      <c r="BW9" s="375"/>
      <c r="BX9" s="375"/>
      <c r="BY9" s="375"/>
      <c r="BZ9" s="375"/>
      <c r="CA9" s="375"/>
      <c r="CB9" s="375"/>
      <c r="CC9" s="375"/>
      <c r="CD9" s="375"/>
      <c r="CE9" s="375"/>
      <c r="CF9" s="375"/>
      <c r="CG9" s="375"/>
      <c r="CH9" s="375"/>
      <c r="CI9" s="375"/>
      <c r="CJ9" s="375"/>
    </row>
    <row r="10" spans="1:88" s="74" customFormat="1" ht="14.25" customHeight="1">
      <c r="A10" s="403"/>
      <c r="B10" s="404">
        <v>5002</v>
      </c>
      <c r="C10" s="26"/>
      <c r="D10" s="511" t="s">
        <v>61</v>
      </c>
      <c r="E10" s="70"/>
      <c r="F10" s="146"/>
      <c r="G10" s="185"/>
      <c r="H10" s="535"/>
      <c r="I10" s="526"/>
      <c r="J10" s="535"/>
      <c r="K10" s="526"/>
      <c r="L10" s="535"/>
      <c r="M10" s="526"/>
      <c r="N10" s="535"/>
      <c r="O10" s="526"/>
      <c r="P10" s="535"/>
      <c r="Q10" s="526"/>
      <c r="R10" s="535"/>
      <c r="S10" s="185"/>
      <c r="T10" s="146"/>
      <c r="U10" s="185"/>
      <c r="V10" s="146"/>
      <c r="W10" s="185"/>
      <c r="X10" s="146"/>
      <c r="Y10" s="185"/>
      <c r="Z10" s="146"/>
      <c r="AA10" s="185"/>
      <c r="AB10" s="146"/>
      <c r="AC10" s="185"/>
      <c r="AD10" s="146"/>
      <c r="AE10" s="185"/>
      <c r="AF10" s="146"/>
      <c r="AG10" s="185"/>
      <c r="AH10" s="146"/>
      <c r="AI10" s="185"/>
      <c r="AJ10" s="146"/>
      <c r="AK10" s="185"/>
      <c r="AM10" s="390"/>
      <c r="AN10" s="60"/>
      <c r="AO10" s="444" t="s">
        <v>515</v>
      </c>
      <c r="AP10" s="310"/>
      <c r="AQ10" s="370"/>
      <c r="AR10" s="313"/>
      <c r="AS10" s="325"/>
      <c r="AT10" s="313"/>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75"/>
      <c r="BX10" s="375"/>
      <c r="BY10" s="375"/>
      <c r="BZ10" s="375"/>
      <c r="CA10" s="375"/>
      <c r="CB10" s="375"/>
      <c r="CC10" s="375"/>
      <c r="CD10" s="375"/>
      <c r="CE10" s="375"/>
      <c r="CF10" s="375"/>
      <c r="CG10" s="375"/>
      <c r="CH10" s="375"/>
      <c r="CI10" s="375"/>
      <c r="CJ10" s="375"/>
    </row>
    <row r="11" spans="1:88" s="74" customFormat="1" ht="14.25" customHeight="1">
      <c r="A11" s="403" t="s">
        <v>626</v>
      </c>
      <c r="B11" s="404">
        <v>255</v>
      </c>
      <c r="C11" s="26">
        <v>2</v>
      </c>
      <c r="D11" s="348" t="s">
        <v>62</v>
      </c>
      <c r="E11" s="62" t="s">
        <v>40</v>
      </c>
      <c r="F11" s="146"/>
      <c r="G11" s="185"/>
      <c r="H11" s="535"/>
      <c r="I11" s="526"/>
      <c r="J11" s="535"/>
      <c r="K11" s="526"/>
      <c r="L11" s="535"/>
      <c r="M11" s="526"/>
      <c r="N11" s="535"/>
      <c r="O11" s="526"/>
      <c r="P11" s="535"/>
      <c r="Q11" s="526"/>
      <c r="R11" s="535"/>
      <c r="S11" s="185"/>
      <c r="T11" s="146"/>
      <c r="U11" s="185"/>
      <c r="V11" s="146"/>
      <c r="W11" s="185"/>
      <c r="X11" s="146"/>
      <c r="Y11" s="185"/>
      <c r="Z11" s="146"/>
      <c r="AA11" s="185"/>
      <c r="AB11" s="146"/>
      <c r="AC11" s="185"/>
      <c r="AD11" s="146"/>
      <c r="AE11" s="185"/>
      <c r="AF11" s="146"/>
      <c r="AG11" s="185"/>
      <c r="AH11" s="146"/>
      <c r="AI11" s="185"/>
      <c r="AJ11" s="146"/>
      <c r="AK11" s="185"/>
      <c r="AM11" s="375"/>
      <c r="AN11" s="60">
        <v>2</v>
      </c>
      <c r="AO11" s="391" t="s">
        <v>653</v>
      </c>
      <c r="AP11" s="60" t="s">
        <v>169</v>
      </c>
      <c r="AQ11" s="370" t="s">
        <v>644</v>
      </c>
      <c r="AR11" s="313"/>
      <c r="AS11" s="325" t="str">
        <f aca="true" t="shared" si="0" ref="AS11:AS18">IF(OR(ISBLANK(F11),ISBLANK(H11)),"N/A",IF(ABS((H11-F11)/F11)&gt;1,"&gt; 100%","ok"))</f>
        <v>N/A</v>
      </c>
      <c r="AT11" s="313"/>
      <c r="AU11" s="325" t="str">
        <f aca="true" t="shared" si="1" ref="AU11:AU18">IF(OR(ISBLANK(H11),ISBLANK(J11)),"N/A",IF(ABS((J11-H11)/H11)&gt;0.25,"&gt; 25%","ok"))</f>
        <v>N/A</v>
      </c>
      <c r="AV11" s="325"/>
      <c r="AW11" s="325" t="str">
        <f aca="true" t="shared" si="2" ref="AW11:AW18">IF(OR(ISBLANK(J11),ISBLANK(L11)),"N/A",IF(ABS((L11-J11)/J11)&gt;0.25,"&gt; 25%","ok"))</f>
        <v>N/A</v>
      </c>
      <c r="AX11" s="325"/>
      <c r="AY11" s="325" t="str">
        <f aca="true" t="shared" si="3" ref="AY11:AY18">IF(OR(ISBLANK(L11),ISBLANK(N11)),"N/A",IF(ABS((N11-L11)/L11)&gt;0.25,"&gt; 25%","ok"))</f>
        <v>N/A</v>
      </c>
      <c r="AZ11" s="325"/>
      <c r="BA11" s="325" t="str">
        <f aca="true" t="shared" si="4" ref="BA11:BA18">IF(OR(ISBLANK(N11),ISBLANK(P11)),"N/A",IF(ABS((P11-N11)/N11)&gt;0.25,"&gt; 25%","ok"))</f>
        <v>N/A</v>
      </c>
      <c r="BB11" s="325"/>
      <c r="BC11" s="325" t="str">
        <f aca="true" t="shared" si="5" ref="BC11:BC18">IF(OR(ISBLANK(P11),ISBLANK(R11)),"N/A",IF(ABS((R11-P11)/P11)&gt;0.25,"&gt; 25%","ok"))</f>
        <v>N/A</v>
      </c>
      <c r="BD11" s="325"/>
      <c r="BE11" s="325" t="str">
        <f aca="true" t="shared" si="6" ref="BE11:BE18">IF(OR(ISBLANK(R11),ISBLANK(T11)),"N/A",IF(ABS((T11-R11)/R11)&gt;0.25,"&gt; 25%","ok"))</f>
        <v>N/A</v>
      </c>
      <c r="BF11" s="325"/>
      <c r="BG11" s="325" t="str">
        <f aca="true" t="shared" si="7" ref="BG11:BG18">IF(OR(ISBLANK(T11),ISBLANK(V11)),"N/A",IF(ABS((V11-T11)/T11)&gt;0.25,"&gt; 25%","ok"))</f>
        <v>N/A</v>
      </c>
      <c r="BH11" s="325"/>
      <c r="BI11" s="325" t="str">
        <f aca="true" t="shared" si="8" ref="BI11:BI18">IF(OR(ISBLANK(V11),ISBLANK(X11)),"N/A",IF(ABS((X11-V11)/V11)&gt;0.25,"&gt; 25%","ok"))</f>
        <v>N/A</v>
      </c>
      <c r="BJ11" s="325"/>
      <c r="BK11" s="325" t="str">
        <f aca="true" t="shared" si="9" ref="BK11:BK18">IF(OR(ISBLANK(X11),ISBLANK(Z11)),"N/A",IF(ABS((Z11-X11)/X11)&gt;0.25,"&gt; 25%","ok"))</f>
        <v>N/A</v>
      </c>
      <c r="BL11" s="325"/>
      <c r="BM11" s="325" t="str">
        <f aca="true" t="shared" si="10" ref="BM11:BM18">IF(OR(ISBLANK(Z11),ISBLANK(AB11)),"N/A",IF(ABS((AB11-Z11)/Z11)&gt;0.25,"&gt; 25%","ok"))</f>
        <v>N/A</v>
      </c>
      <c r="BN11" s="325"/>
      <c r="BO11" s="325" t="str">
        <f aca="true" t="shared" si="11" ref="BO11:BO18">IF(OR(ISBLANK(AB11),ISBLANK(AD11)),"N/A",IF(ABS((AD11-AB11)/AB11)&gt;0.25,"&gt; 25%","ok"))</f>
        <v>N/A</v>
      </c>
      <c r="BP11" s="325"/>
      <c r="BQ11" s="325" t="str">
        <f aca="true" t="shared" si="12" ref="BQ11:BQ18">IF(OR(ISBLANK(AD11),ISBLANK(AF11)),"N/A",IF(ABS((AF11-AD11)/AD11)&gt;0.25,"&gt; 25%","ok"))</f>
        <v>N/A</v>
      </c>
      <c r="BR11" s="325"/>
      <c r="BS11" s="325" t="str">
        <f aca="true" t="shared" si="13" ref="BS11:BS18">IF(OR(ISBLANK(AF11),ISBLANK(AH11)),"N/A",IF(ABS((AH11-AF11)/AF11)&gt;0.25,"&gt; 25%","ok"))</f>
        <v>N/A</v>
      </c>
      <c r="BT11" s="325"/>
      <c r="BU11" s="325" t="str">
        <f aca="true" t="shared" si="14" ref="BU11:BU18">IF(OR(ISBLANK(AH11),ISBLANK(AJ11)),"N/A",IF(ABS((AJ11-AH11)/AH11)&gt;0.25,"&gt; 25%","ok"))</f>
        <v>N/A</v>
      </c>
      <c r="BV11" s="325"/>
      <c r="BW11" s="375"/>
      <c r="BX11" s="375"/>
      <c r="BY11" s="375"/>
      <c r="BZ11" s="375"/>
      <c r="CA11" s="375"/>
      <c r="CB11" s="375"/>
      <c r="CC11" s="375"/>
      <c r="CD11" s="375"/>
      <c r="CE11" s="375"/>
      <c r="CF11" s="375"/>
      <c r="CG11" s="375"/>
      <c r="CH11" s="375"/>
      <c r="CI11" s="375"/>
      <c r="CJ11" s="375"/>
    </row>
    <row r="12" spans="1:88" s="126" customFormat="1" ht="14.25" customHeight="1">
      <c r="A12" s="399" t="s">
        <v>626</v>
      </c>
      <c r="B12" s="404">
        <v>256</v>
      </c>
      <c r="C12" s="26">
        <v>3</v>
      </c>
      <c r="D12" s="108" t="s">
        <v>63</v>
      </c>
      <c r="E12" s="62" t="s">
        <v>40</v>
      </c>
      <c r="F12" s="146"/>
      <c r="G12" s="185"/>
      <c r="H12" s="535"/>
      <c r="I12" s="526"/>
      <c r="J12" s="535"/>
      <c r="K12" s="526"/>
      <c r="L12" s="535"/>
      <c r="M12" s="526"/>
      <c r="N12" s="535"/>
      <c r="O12" s="526"/>
      <c r="P12" s="535"/>
      <c r="Q12" s="526"/>
      <c r="R12" s="535"/>
      <c r="S12" s="185"/>
      <c r="T12" s="146"/>
      <c r="U12" s="185"/>
      <c r="V12" s="146"/>
      <c r="W12" s="185"/>
      <c r="X12" s="146"/>
      <c r="Y12" s="185"/>
      <c r="Z12" s="146"/>
      <c r="AA12" s="185"/>
      <c r="AB12" s="146"/>
      <c r="AC12" s="185"/>
      <c r="AD12" s="146"/>
      <c r="AE12" s="185"/>
      <c r="AF12" s="146"/>
      <c r="AG12" s="185"/>
      <c r="AH12" s="146"/>
      <c r="AI12" s="185"/>
      <c r="AJ12" s="146"/>
      <c r="AK12" s="185"/>
      <c r="AM12" s="309"/>
      <c r="AN12" s="60">
        <v>3</v>
      </c>
      <c r="AO12" s="392" t="s">
        <v>628</v>
      </c>
      <c r="AP12" s="60" t="s">
        <v>169</v>
      </c>
      <c r="AQ12" s="370" t="s">
        <v>644</v>
      </c>
      <c r="AR12" s="313"/>
      <c r="AS12" s="325" t="str">
        <f t="shared" si="0"/>
        <v>N/A</v>
      </c>
      <c r="AT12" s="313"/>
      <c r="AU12" s="325" t="str">
        <f t="shared" si="1"/>
        <v>N/A</v>
      </c>
      <c r="AV12" s="325"/>
      <c r="AW12" s="325" t="str">
        <f t="shared" si="2"/>
        <v>N/A</v>
      </c>
      <c r="AX12" s="325"/>
      <c r="AY12" s="325" t="str">
        <f t="shared" si="3"/>
        <v>N/A</v>
      </c>
      <c r="AZ12" s="325"/>
      <c r="BA12" s="325" t="str">
        <f t="shared" si="4"/>
        <v>N/A</v>
      </c>
      <c r="BB12" s="325"/>
      <c r="BC12" s="325" t="str">
        <f t="shared" si="5"/>
        <v>N/A</v>
      </c>
      <c r="BD12" s="325"/>
      <c r="BE12" s="325" t="str">
        <f t="shared" si="6"/>
        <v>N/A</v>
      </c>
      <c r="BF12" s="325"/>
      <c r="BG12" s="325" t="str">
        <f t="shared" si="7"/>
        <v>N/A</v>
      </c>
      <c r="BH12" s="325"/>
      <c r="BI12" s="325" t="str">
        <f t="shared" si="8"/>
        <v>N/A</v>
      </c>
      <c r="BJ12" s="325"/>
      <c r="BK12" s="325" t="str">
        <f t="shared" si="9"/>
        <v>N/A</v>
      </c>
      <c r="BL12" s="325"/>
      <c r="BM12" s="325" t="str">
        <f t="shared" si="10"/>
        <v>N/A</v>
      </c>
      <c r="BN12" s="325"/>
      <c r="BO12" s="325" t="str">
        <f t="shared" si="11"/>
        <v>N/A</v>
      </c>
      <c r="BP12" s="325"/>
      <c r="BQ12" s="325" t="str">
        <f t="shared" si="12"/>
        <v>N/A</v>
      </c>
      <c r="BR12" s="325"/>
      <c r="BS12" s="325" t="str">
        <f t="shared" si="13"/>
        <v>N/A</v>
      </c>
      <c r="BT12" s="325"/>
      <c r="BU12" s="325" t="str">
        <f t="shared" si="14"/>
        <v>N/A</v>
      </c>
      <c r="BV12" s="325"/>
      <c r="BW12" s="309"/>
      <c r="BX12" s="309"/>
      <c r="BY12" s="309"/>
      <c r="BZ12" s="309"/>
      <c r="CA12" s="309"/>
      <c r="CB12" s="309"/>
      <c r="CC12" s="309"/>
      <c r="CD12" s="309"/>
      <c r="CE12" s="309"/>
      <c r="CF12" s="309"/>
      <c r="CG12" s="309"/>
      <c r="CH12" s="309"/>
      <c r="CI12" s="309"/>
      <c r="CJ12" s="309"/>
    </row>
    <row r="13" spans="1:88" s="217" customFormat="1" ht="21" customHeight="1">
      <c r="A13" s="401" t="s">
        <v>626</v>
      </c>
      <c r="B13" s="404">
        <v>257</v>
      </c>
      <c r="C13" s="26">
        <v>4</v>
      </c>
      <c r="D13" s="348" t="s">
        <v>64</v>
      </c>
      <c r="E13" s="62" t="s">
        <v>40</v>
      </c>
      <c r="F13" s="146"/>
      <c r="G13" s="185"/>
      <c r="H13" s="535"/>
      <c r="I13" s="526"/>
      <c r="J13" s="535"/>
      <c r="K13" s="526"/>
      <c r="L13" s="535"/>
      <c r="M13" s="526"/>
      <c r="N13" s="535"/>
      <c r="O13" s="526"/>
      <c r="P13" s="535"/>
      <c r="Q13" s="526"/>
      <c r="R13" s="535"/>
      <c r="S13" s="185"/>
      <c r="T13" s="146"/>
      <c r="U13" s="185"/>
      <c r="V13" s="146"/>
      <c r="W13" s="185"/>
      <c r="X13" s="146"/>
      <c r="Y13" s="185"/>
      <c r="Z13" s="146"/>
      <c r="AA13" s="185"/>
      <c r="AB13" s="146"/>
      <c r="AC13" s="185"/>
      <c r="AD13" s="146"/>
      <c r="AE13" s="185"/>
      <c r="AF13" s="146"/>
      <c r="AG13" s="185"/>
      <c r="AH13" s="146"/>
      <c r="AI13" s="185"/>
      <c r="AJ13" s="146"/>
      <c r="AK13" s="185"/>
      <c r="AM13" s="359"/>
      <c r="AN13" s="60">
        <v>4</v>
      </c>
      <c r="AO13" s="392" t="s">
        <v>503</v>
      </c>
      <c r="AP13" s="60" t="s">
        <v>169</v>
      </c>
      <c r="AQ13" s="370" t="s">
        <v>644</v>
      </c>
      <c r="AR13" s="313"/>
      <c r="AS13" s="325" t="str">
        <f t="shared" si="0"/>
        <v>N/A</v>
      </c>
      <c r="AT13" s="313"/>
      <c r="AU13" s="325" t="str">
        <f t="shared" si="1"/>
        <v>N/A</v>
      </c>
      <c r="AV13" s="325"/>
      <c r="AW13" s="325" t="str">
        <f t="shared" si="2"/>
        <v>N/A</v>
      </c>
      <c r="AX13" s="325"/>
      <c r="AY13" s="325" t="str">
        <f t="shared" si="3"/>
        <v>N/A</v>
      </c>
      <c r="AZ13" s="325"/>
      <c r="BA13" s="325" t="str">
        <f t="shared" si="4"/>
        <v>N/A</v>
      </c>
      <c r="BB13" s="325"/>
      <c r="BC13" s="325" t="str">
        <f t="shared" si="5"/>
        <v>N/A</v>
      </c>
      <c r="BD13" s="325"/>
      <c r="BE13" s="325" t="str">
        <f t="shared" si="6"/>
        <v>N/A</v>
      </c>
      <c r="BF13" s="325"/>
      <c r="BG13" s="325" t="str">
        <f t="shared" si="7"/>
        <v>N/A</v>
      </c>
      <c r="BH13" s="325"/>
      <c r="BI13" s="325" t="str">
        <f t="shared" si="8"/>
        <v>N/A</v>
      </c>
      <c r="BJ13" s="325"/>
      <c r="BK13" s="325" t="str">
        <f t="shared" si="9"/>
        <v>N/A</v>
      </c>
      <c r="BL13" s="325"/>
      <c r="BM13" s="325" t="str">
        <f t="shared" si="10"/>
        <v>N/A</v>
      </c>
      <c r="BN13" s="325"/>
      <c r="BO13" s="325" t="str">
        <f t="shared" si="11"/>
        <v>N/A</v>
      </c>
      <c r="BP13" s="325"/>
      <c r="BQ13" s="325" t="str">
        <f t="shared" si="12"/>
        <v>N/A</v>
      </c>
      <c r="BR13" s="325"/>
      <c r="BS13" s="325" t="str">
        <f t="shared" si="13"/>
        <v>N/A</v>
      </c>
      <c r="BT13" s="325"/>
      <c r="BU13" s="325" t="str">
        <f t="shared" si="14"/>
        <v>N/A</v>
      </c>
      <c r="BV13" s="325"/>
      <c r="BW13" s="359"/>
      <c r="BX13" s="359"/>
      <c r="BY13" s="359"/>
      <c r="BZ13" s="359"/>
      <c r="CA13" s="359"/>
      <c r="CB13" s="359"/>
      <c r="CC13" s="359"/>
      <c r="CD13" s="359"/>
      <c r="CE13" s="359"/>
      <c r="CF13" s="359"/>
      <c r="CG13" s="359"/>
      <c r="CH13" s="359"/>
      <c r="CI13" s="359"/>
      <c r="CJ13" s="359"/>
    </row>
    <row r="14" spans="1:88" s="217" customFormat="1" ht="14.25" customHeight="1">
      <c r="A14" s="399" t="s">
        <v>626</v>
      </c>
      <c r="B14" s="404">
        <v>258</v>
      </c>
      <c r="C14" s="26">
        <v>5</v>
      </c>
      <c r="D14" s="108" t="s">
        <v>65</v>
      </c>
      <c r="E14" s="62" t="s">
        <v>40</v>
      </c>
      <c r="F14" s="146"/>
      <c r="G14" s="185"/>
      <c r="H14" s="535"/>
      <c r="I14" s="526"/>
      <c r="J14" s="535"/>
      <c r="K14" s="526"/>
      <c r="L14" s="535"/>
      <c r="M14" s="526"/>
      <c r="N14" s="535"/>
      <c r="O14" s="526"/>
      <c r="P14" s="535"/>
      <c r="Q14" s="526"/>
      <c r="R14" s="535"/>
      <c r="S14" s="185"/>
      <c r="T14" s="146"/>
      <c r="U14" s="185"/>
      <c r="V14" s="146"/>
      <c r="W14" s="185"/>
      <c r="X14" s="146"/>
      <c r="Y14" s="185"/>
      <c r="Z14" s="146"/>
      <c r="AA14" s="185"/>
      <c r="AB14" s="146"/>
      <c r="AC14" s="185"/>
      <c r="AD14" s="146"/>
      <c r="AE14" s="185"/>
      <c r="AF14" s="146"/>
      <c r="AG14" s="185"/>
      <c r="AH14" s="146"/>
      <c r="AI14" s="185"/>
      <c r="AJ14" s="146"/>
      <c r="AK14" s="185"/>
      <c r="AM14" s="359"/>
      <c r="AN14" s="60">
        <v>5</v>
      </c>
      <c r="AO14" s="392" t="s">
        <v>674</v>
      </c>
      <c r="AP14" s="60" t="s">
        <v>169</v>
      </c>
      <c r="AQ14" s="370" t="s">
        <v>644</v>
      </c>
      <c r="AR14" s="313"/>
      <c r="AS14" s="325" t="str">
        <f t="shared" si="0"/>
        <v>N/A</v>
      </c>
      <c r="AT14" s="313"/>
      <c r="AU14" s="325" t="str">
        <f t="shared" si="1"/>
        <v>N/A</v>
      </c>
      <c r="AV14" s="325"/>
      <c r="AW14" s="325" t="str">
        <f t="shared" si="2"/>
        <v>N/A</v>
      </c>
      <c r="AX14" s="325"/>
      <c r="AY14" s="325" t="str">
        <f t="shared" si="3"/>
        <v>N/A</v>
      </c>
      <c r="AZ14" s="325"/>
      <c r="BA14" s="325" t="str">
        <f t="shared" si="4"/>
        <v>N/A</v>
      </c>
      <c r="BB14" s="325"/>
      <c r="BC14" s="325" t="str">
        <f t="shared" si="5"/>
        <v>N/A</v>
      </c>
      <c r="BD14" s="325"/>
      <c r="BE14" s="325" t="str">
        <f t="shared" si="6"/>
        <v>N/A</v>
      </c>
      <c r="BF14" s="325"/>
      <c r="BG14" s="325" t="str">
        <f t="shared" si="7"/>
        <v>N/A</v>
      </c>
      <c r="BH14" s="325"/>
      <c r="BI14" s="325" t="str">
        <f t="shared" si="8"/>
        <v>N/A</v>
      </c>
      <c r="BJ14" s="325"/>
      <c r="BK14" s="325" t="str">
        <f t="shared" si="9"/>
        <v>N/A</v>
      </c>
      <c r="BL14" s="325"/>
      <c r="BM14" s="325" t="str">
        <f t="shared" si="10"/>
        <v>N/A</v>
      </c>
      <c r="BN14" s="325"/>
      <c r="BO14" s="325" t="str">
        <f t="shared" si="11"/>
        <v>N/A</v>
      </c>
      <c r="BP14" s="325"/>
      <c r="BQ14" s="325" t="str">
        <f t="shared" si="12"/>
        <v>N/A</v>
      </c>
      <c r="BR14" s="325"/>
      <c r="BS14" s="325" t="str">
        <f t="shared" si="13"/>
        <v>N/A</v>
      </c>
      <c r="BT14" s="325"/>
      <c r="BU14" s="325" t="str">
        <f t="shared" si="14"/>
        <v>N/A</v>
      </c>
      <c r="BV14" s="325"/>
      <c r="BW14" s="359"/>
      <c r="BX14" s="359"/>
      <c r="BY14" s="359"/>
      <c r="BZ14" s="359"/>
      <c r="CA14" s="359"/>
      <c r="CB14" s="359"/>
      <c r="CC14" s="359"/>
      <c r="CD14" s="359"/>
      <c r="CE14" s="359"/>
      <c r="CF14" s="359"/>
      <c r="CG14" s="359"/>
      <c r="CH14" s="359"/>
      <c r="CI14" s="359"/>
      <c r="CJ14" s="359"/>
    </row>
    <row r="15" spans="1:88" s="217" customFormat="1" ht="14.25" customHeight="1">
      <c r="A15" s="399" t="s">
        <v>626</v>
      </c>
      <c r="B15" s="404">
        <v>259</v>
      </c>
      <c r="C15" s="26">
        <v>6</v>
      </c>
      <c r="D15" s="348" t="s">
        <v>66</v>
      </c>
      <c r="E15" s="62" t="s">
        <v>40</v>
      </c>
      <c r="F15" s="146"/>
      <c r="G15" s="185"/>
      <c r="H15" s="535"/>
      <c r="I15" s="526"/>
      <c r="J15" s="535"/>
      <c r="K15" s="526"/>
      <c r="L15" s="535"/>
      <c r="M15" s="526"/>
      <c r="N15" s="535"/>
      <c r="O15" s="526"/>
      <c r="P15" s="535"/>
      <c r="Q15" s="526"/>
      <c r="R15" s="535"/>
      <c r="S15" s="185"/>
      <c r="T15" s="146"/>
      <c r="U15" s="185"/>
      <c r="V15" s="146"/>
      <c r="W15" s="185"/>
      <c r="X15" s="146"/>
      <c r="Y15" s="185"/>
      <c r="Z15" s="146"/>
      <c r="AA15" s="185"/>
      <c r="AB15" s="146"/>
      <c r="AC15" s="185"/>
      <c r="AD15" s="146"/>
      <c r="AE15" s="185"/>
      <c r="AF15" s="146"/>
      <c r="AG15" s="185"/>
      <c r="AH15" s="146"/>
      <c r="AI15" s="185"/>
      <c r="AJ15" s="146"/>
      <c r="AK15" s="185"/>
      <c r="AM15" s="359"/>
      <c r="AN15" s="60">
        <v>6</v>
      </c>
      <c r="AO15" s="391" t="s">
        <v>675</v>
      </c>
      <c r="AP15" s="60" t="s">
        <v>169</v>
      </c>
      <c r="AQ15" s="370" t="s">
        <v>644</v>
      </c>
      <c r="AR15" s="313"/>
      <c r="AS15" s="325" t="str">
        <f t="shared" si="0"/>
        <v>N/A</v>
      </c>
      <c r="AT15" s="313"/>
      <c r="AU15" s="325" t="str">
        <f t="shared" si="1"/>
        <v>N/A</v>
      </c>
      <c r="AV15" s="325"/>
      <c r="AW15" s="325" t="str">
        <f t="shared" si="2"/>
        <v>N/A</v>
      </c>
      <c r="AX15" s="325"/>
      <c r="AY15" s="325" t="str">
        <f t="shared" si="3"/>
        <v>N/A</v>
      </c>
      <c r="AZ15" s="325"/>
      <c r="BA15" s="325" t="str">
        <f t="shared" si="4"/>
        <v>N/A</v>
      </c>
      <c r="BB15" s="325"/>
      <c r="BC15" s="325" t="str">
        <f t="shared" si="5"/>
        <v>N/A</v>
      </c>
      <c r="BD15" s="325"/>
      <c r="BE15" s="325" t="str">
        <f t="shared" si="6"/>
        <v>N/A</v>
      </c>
      <c r="BF15" s="325"/>
      <c r="BG15" s="325" t="str">
        <f t="shared" si="7"/>
        <v>N/A</v>
      </c>
      <c r="BH15" s="325"/>
      <c r="BI15" s="325" t="str">
        <f t="shared" si="8"/>
        <v>N/A</v>
      </c>
      <c r="BJ15" s="325"/>
      <c r="BK15" s="325" t="str">
        <f t="shared" si="9"/>
        <v>N/A</v>
      </c>
      <c r="BL15" s="325"/>
      <c r="BM15" s="325" t="str">
        <f t="shared" si="10"/>
        <v>N/A</v>
      </c>
      <c r="BN15" s="325"/>
      <c r="BO15" s="325" t="str">
        <f t="shared" si="11"/>
        <v>N/A</v>
      </c>
      <c r="BP15" s="325"/>
      <c r="BQ15" s="325" t="str">
        <f t="shared" si="12"/>
        <v>N/A</v>
      </c>
      <c r="BR15" s="325"/>
      <c r="BS15" s="325" t="str">
        <f t="shared" si="13"/>
        <v>N/A</v>
      </c>
      <c r="BT15" s="325"/>
      <c r="BU15" s="325" t="str">
        <f t="shared" si="14"/>
        <v>N/A</v>
      </c>
      <c r="BV15" s="325"/>
      <c r="BW15" s="359"/>
      <c r="BX15" s="359"/>
      <c r="BY15" s="359"/>
      <c r="BZ15" s="359"/>
      <c r="CA15" s="359"/>
      <c r="CB15" s="359"/>
      <c r="CC15" s="359"/>
      <c r="CD15" s="359"/>
      <c r="CE15" s="359"/>
      <c r="CF15" s="359"/>
      <c r="CG15" s="359"/>
      <c r="CH15" s="359"/>
      <c r="CI15" s="359"/>
      <c r="CJ15" s="359"/>
    </row>
    <row r="16" spans="1:88" s="217" customFormat="1" ht="14.25" customHeight="1">
      <c r="A16" s="399" t="s">
        <v>626</v>
      </c>
      <c r="B16" s="404">
        <v>260</v>
      </c>
      <c r="C16" s="26">
        <v>7</v>
      </c>
      <c r="D16" s="108" t="s">
        <v>67</v>
      </c>
      <c r="E16" s="62" t="s">
        <v>40</v>
      </c>
      <c r="F16" s="146"/>
      <c r="G16" s="185"/>
      <c r="H16" s="535"/>
      <c r="I16" s="526"/>
      <c r="J16" s="535"/>
      <c r="K16" s="526"/>
      <c r="L16" s="535"/>
      <c r="M16" s="526"/>
      <c r="N16" s="535"/>
      <c r="O16" s="526"/>
      <c r="P16" s="535"/>
      <c r="Q16" s="526"/>
      <c r="R16" s="535"/>
      <c r="S16" s="185"/>
      <c r="T16" s="146"/>
      <c r="U16" s="185"/>
      <c r="V16" s="146"/>
      <c r="W16" s="185"/>
      <c r="X16" s="146"/>
      <c r="Y16" s="185"/>
      <c r="Z16" s="146"/>
      <c r="AA16" s="185"/>
      <c r="AB16" s="146"/>
      <c r="AC16" s="185"/>
      <c r="AD16" s="146"/>
      <c r="AE16" s="185"/>
      <c r="AF16" s="146"/>
      <c r="AG16" s="185"/>
      <c r="AH16" s="146"/>
      <c r="AI16" s="185"/>
      <c r="AJ16" s="146"/>
      <c r="AK16" s="185"/>
      <c r="AM16" s="359"/>
      <c r="AN16" s="60">
        <v>7</v>
      </c>
      <c r="AO16" s="392" t="s">
        <v>630</v>
      </c>
      <c r="AP16" s="60" t="s">
        <v>169</v>
      </c>
      <c r="AQ16" s="370" t="s">
        <v>644</v>
      </c>
      <c r="AR16" s="313"/>
      <c r="AS16" s="325" t="str">
        <f t="shared" si="0"/>
        <v>N/A</v>
      </c>
      <c r="AT16" s="313"/>
      <c r="AU16" s="325" t="str">
        <f t="shared" si="1"/>
        <v>N/A</v>
      </c>
      <c r="AV16" s="325"/>
      <c r="AW16" s="325" t="str">
        <f t="shared" si="2"/>
        <v>N/A</v>
      </c>
      <c r="AX16" s="325"/>
      <c r="AY16" s="325" t="str">
        <f t="shared" si="3"/>
        <v>N/A</v>
      </c>
      <c r="AZ16" s="325"/>
      <c r="BA16" s="325" t="str">
        <f t="shared" si="4"/>
        <v>N/A</v>
      </c>
      <c r="BB16" s="325"/>
      <c r="BC16" s="325" t="str">
        <f t="shared" si="5"/>
        <v>N/A</v>
      </c>
      <c r="BD16" s="325"/>
      <c r="BE16" s="325" t="str">
        <f t="shared" si="6"/>
        <v>N/A</v>
      </c>
      <c r="BF16" s="325"/>
      <c r="BG16" s="325" t="str">
        <f t="shared" si="7"/>
        <v>N/A</v>
      </c>
      <c r="BH16" s="325"/>
      <c r="BI16" s="325" t="str">
        <f t="shared" si="8"/>
        <v>N/A</v>
      </c>
      <c r="BJ16" s="325"/>
      <c r="BK16" s="325" t="str">
        <f t="shared" si="9"/>
        <v>N/A</v>
      </c>
      <c r="BL16" s="325"/>
      <c r="BM16" s="325" t="str">
        <f t="shared" si="10"/>
        <v>N/A</v>
      </c>
      <c r="BN16" s="325"/>
      <c r="BO16" s="325" t="str">
        <f t="shared" si="11"/>
        <v>N/A</v>
      </c>
      <c r="BP16" s="325"/>
      <c r="BQ16" s="325" t="str">
        <f t="shared" si="12"/>
        <v>N/A</v>
      </c>
      <c r="BR16" s="325"/>
      <c r="BS16" s="325" t="str">
        <f t="shared" si="13"/>
        <v>N/A</v>
      </c>
      <c r="BT16" s="325"/>
      <c r="BU16" s="325" t="str">
        <f t="shared" si="14"/>
        <v>N/A</v>
      </c>
      <c r="BV16" s="325"/>
      <c r="BW16" s="359"/>
      <c r="BX16" s="359"/>
      <c r="BY16" s="359"/>
      <c r="BZ16" s="359"/>
      <c r="CA16" s="359"/>
      <c r="CB16" s="359"/>
      <c r="CC16" s="359"/>
      <c r="CD16" s="359"/>
      <c r="CE16" s="359"/>
      <c r="CF16" s="359"/>
      <c r="CG16" s="359"/>
      <c r="CH16" s="359"/>
      <c r="CI16" s="359"/>
      <c r="CJ16" s="359"/>
    </row>
    <row r="17" spans="1:88" s="126" customFormat="1" ht="12.75">
      <c r="A17" s="399"/>
      <c r="B17" s="404">
        <v>5003</v>
      </c>
      <c r="C17" s="59"/>
      <c r="D17" s="76" t="s">
        <v>68</v>
      </c>
      <c r="E17" s="59"/>
      <c r="F17" s="142"/>
      <c r="G17" s="142"/>
      <c r="H17" s="142"/>
      <c r="I17" s="142"/>
      <c r="J17" s="142"/>
      <c r="K17" s="142"/>
      <c r="L17" s="142"/>
      <c r="M17" s="142"/>
      <c r="N17" s="142"/>
      <c r="O17" s="142"/>
      <c r="P17" s="142"/>
      <c r="Q17" s="142"/>
      <c r="R17" s="142"/>
      <c r="S17" s="142"/>
      <c r="T17" s="142"/>
      <c r="U17" s="192"/>
      <c r="V17" s="142"/>
      <c r="W17" s="192"/>
      <c r="X17" s="142"/>
      <c r="Y17" s="192"/>
      <c r="Z17" s="142"/>
      <c r="AA17" s="192"/>
      <c r="AB17" s="147"/>
      <c r="AC17" s="192"/>
      <c r="AD17" s="142"/>
      <c r="AE17" s="192"/>
      <c r="AF17" s="142"/>
      <c r="AG17" s="192"/>
      <c r="AH17" s="142"/>
      <c r="AI17" s="192"/>
      <c r="AJ17" s="142"/>
      <c r="AK17" s="192"/>
      <c r="AM17" s="309"/>
      <c r="AN17" s="59"/>
      <c r="AO17" s="76" t="s">
        <v>491</v>
      </c>
      <c r="AP17" s="59"/>
      <c r="AQ17" s="370"/>
      <c r="AR17" s="142"/>
      <c r="AS17" s="325" t="str">
        <f t="shared" si="0"/>
        <v>N/A</v>
      </c>
      <c r="AT17" s="313"/>
      <c r="AU17" s="325" t="str">
        <f t="shared" si="1"/>
        <v>N/A</v>
      </c>
      <c r="AV17" s="325"/>
      <c r="AW17" s="325" t="str">
        <f t="shared" si="2"/>
        <v>N/A</v>
      </c>
      <c r="AX17" s="325"/>
      <c r="AY17" s="325" t="str">
        <f t="shared" si="3"/>
        <v>N/A</v>
      </c>
      <c r="AZ17" s="325"/>
      <c r="BA17" s="325" t="str">
        <f t="shared" si="4"/>
        <v>N/A</v>
      </c>
      <c r="BB17" s="325"/>
      <c r="BC17" s="325" t="str">
        <f t="shared" si="5"/>
        <v>N/A</v>
      </c>
      <c r="BD17" s="325"/>
      <c r="BE17" s="325" t="str">
        <f t="shared" si="6"/>
        <v>N/A</v>
      </c>
      <c r="BF17" s="325"/>
      <c r="BG17" s="325" t="str">
        <f t="shared" si="7"/>
        <v>N/A</v>
      </c>
      <c r="BH17" s="325"/>
      <c r="BI17" s="325" t="str">
        <f t="shared" si="8"/>
        <v>N/A</v>
      </c>
      <c r="BJ17" s="325"/>
      <c r="BK17" s="325" t="str">
        <f t="shared" si="9"/>
        <v>N/A</v>
      </c>
      <c r="BL17" s="325"/>
      <c r="BM17" s="325" t="str">
        <f t="shared" si="10"/>
        <v>N/A</v>
      </c>
      <c r="BN17" s="325"/>
      <c r="BO17" s="325" t="str">
        <f t="shared" si="11"/>
        <v>N/A</v>
      </c>
      <c r="BP17" s="325"/>
      <c r="BQ17" s="325" t="str">
        <f t="shared" si="12"/>
        <v>N/A</v>
      </c>
      <c r="BR17" s="325"/>
      <c r="BS17" s="325" t="str">
        <f t="shared" si="13"/>
        <v>N/A</v>
      </c>
      <c r="BT17" s="325"/>
      <c r="BU17" s="325" t="str">
        <f t="shared" si="14"/>
        <v>N/A</v>
      </c>
      <c r="BV17" s="325"/>
      <c r="BW17" s="309"/>
      <c r="BX17" s="309"/>
      <c r="BY17" s="309"/>
      <c r="BZ17" s="309"/>
      <c r="CA17" s="309"/>
      <c r="CB17" s="309"/>
      <c r="CC17" s="309"/>
      <c r="CD17" s="309"/>
      <c r="CE17" s="309"/>
      <c r="CF17" s="309"/>
      <c r="CG17" s="309"/>
      <c r="CH17" s="309"/>
      <c r="CI17" s="309"/>
      <c r="CJ17" s="309"/>
    </row>
    <row r="18" spans="1:88" s="74" customFormat="1" ht="23.25" customHeight="1">
      <c r="A18" s="403" t="s">
        <v>626</v>
      </c>
      <c r="B18" s="404">
        <v>24</v>
      </c>
      <c r="C18" s="592">
        <v>11</v>
      </c>
      <c r="D18" s="220" t="s">
        <v>69</v>
      </c>
      <c r="E18" s="62" t="s">
        <v>40</v>
      </c>
      <c r="F18" s="146"/>
      <c r="G18" s="185"/>
      <c r="H18" s="535"/>
      <c r="I18" s="526"/>
      <c r="J18" s="535"/>
      <c r="K18" s="526"/>
      <c r="L18" s="535"/>
      <c r="M18" s="526"/>
      <c r="N18" s="535"/>
      <c r="O18" s="526"/>
      <c r="P18" s="535"/>
      <c r="Q18" s="526"/>
      <c r="R18" s="535"/>
      <c r="S18" s="185"/>
      <c r="T18" s="146"/>
      <c r="U18" s="185"/>
      <c r="V18" s="146"/>
      <c r="W18" s="185"/>
      <c r="X18" s="146"/>
      <c r="Y18" s="185"/>
      <c r="Z18" s="146"/>
      <c r="AA18" s="185"/>
      <c r="AB18" s="146"/>
      <c r="AC18" s="185"/>
      <c r="AD18" s="146"/>
      <c r="AE18" s="185"/>
      <c r="AF18" s="146"/>
      <c r="AG18" s="185"/>
      <c r="AH18" s="146"/>
      <c r="AI18" s="185"/>
      <c r="AJ18" s="146"/>
      <c r="AK18" s="185"/>
      <c r="AM18" s="375"/>
      <c r="AN18" s="393">
        <v>11</v>
      </c>
      <c r="AO18" s="389" t="s">
        <v>666</v>
      </c>
      <c r="AP18" s="310" t="s">
        <v>169</v>
      </c>
      <c r="AQ18" s="370" t="s">
        <v>644</v>
      </c>
      <c r="AR18" s="313"/>
      <c r="AS18" s="325" t="str">
        <f t="shared" si="0"/>
        <v>N/A</v>
      </c>
      <c r="AT18" s="313"/>
      <c r="AU18" s="325" t="str">
        <f t="shared" si="1"/>
        <v>N/A</v>
      </c>
      <c r="AV18" s="325"/>
      <c r="AW18" s="325" t="str">
        <f t="shared" si="2"/>
        <v>N/A</v>
      </c>
      <c r="AX18" s="325"/>
      <c r="AY18" s="325" t="str">
        <f t="shared" si="3"/>
        <v>N/A</v>
      </c>
      <c r="AZ18" s="325"/>
      <c r="BA18" s="325" t="str">
        <f t="shared" si="4"/>
        <v>N/A</v>
      </c>
      <c r="BB18" s="325"/>
      <c r="BC18" s="325" t="str">
        <f t="shared" si="5"/>
        <v>N/A</v>
      </c>
      <c r="BD18" s="325"/>
      <c r="BE18" s="325" t="str">
        <f t="shared" si="6"/>
        <v>N/A</v>
      </c>
      <c r="BF18" s="325"/>
      <c r="BG18" s="325" t="str">
        <f t="shared" si="7"/>
        <v>N/A</v>
      </c>
      <c r="BH18" s="325"/>
      <c r="BI18" s="325" t="str">
        <f t="shared" si="8"/>
        <v>N/A</v>
      </c>
      <c r="BJ18" s="325"/>
      <c r="BK18" s="325" t="str">
        <f t="shared" si="9"/>
        <v>N/A</v>
      </c>
      <c r="BL18" s="325"/>
      <c r="BM18" s="325" t="str">
        <f t="shared" si="10"/>
        <v>N/A</v>
      </c>
      <c r="BN18" s="325"/>
      <c r="BO18" s="325" t="str">
        <f t="shared" si="11"/>
        <v>N/A</v>
      </c>
      <c r="BP18" s="325"/>
      <c r="BQ18" s="325" t="str">
        <f t="shared" si="12"/>
        <v>N/A</v>
      </c>
      <c r="BR18" s="325"/>
      <c r="BS18" s="325" t="str">
        <f t="shared" si="13"/>
        <v>N/A</v>
      </c>
      <c r="BT18" s="325"/>
      <c r="BU18" s="325" t="str">
        <f t="shared" si="14"/>
        <v>N/A</v>
      </c>
      <c r="BV18" s="325"/>
      <c r="BW18" s="375"/>
      <c r="BX18" s="375"/>
      <c r="BY18" s="375"/>
      <c r="BZ18" s="375"/>
      <c r="CA18" s="375"/>
      <c r="CB18" s="375"/>
      <c r="CC18" s="375"/>
      <c r="CD18" s="375"/>
      <c r="CE18" s="375"/>
      <c r="CF18" s="375"/>
      <c r="CG18" s="375"/>
      <c r="CH18" s="375"/>
      <c r="CI18" s="375"/>
      <c r="CJ18" s="375"/>
    </row>
    <row r="19" spans="1:88" s="74" customFormat="1" ht="14.25" customHeight="1">
      <c r="A19" s="403"/>
      <c r="B19" s="404">
        <v>5004</v>
      </c>
      <c r="C19" s="592"/>
      <c r="D19" s="511" t="s">
        <v>61</v>
      </c>
      <c r="E19" s="70"/>
      <c r="F19" s="146"/>
      <c r="G19" s="185"/>
      <c r="H19" s="535"/>
      <c r="I19" s="526"/>
      <c r="J19" s="535"/>
      <c r="K19" s="526"/>
      <c r="L19" s="535"/>
      <c r="M19" s="526"/>
      <c r="N19" s="535"/>
      <c r="O19" s="526"/>
      <c r="P19" s="535"/>
      <c r="Q19" s="526"/>
      <c r="R19" s="535"/>
      <c r="S19" s="185"/>
      <c r="T19" s="146"/>
      <c r="U19" s="185"/>
      <c r="V19" s="146"/>
      <c r="W19" s="185"/>
      <c r="X19" s="146"/>
      <c r="Y19" s="185"/>
      <c r="Z19" s="146"/>
      <c r="AA19" s="185"/>
      <c r="AB19" s="146"/>
      <c r="AC19" s="185"/>
      <c r="AD19" s="146"/>
      <c r="AE19" s="185"/>
      <c r="AF19" s="146"/>
      <c r="AG19" s="185"/>
      <c r="AH19" s="146"/>
      <c r="AI19" s="185"/>
      <c r="AJ19" s="146"/>
      <c r="AK19" s="185"/>
      <c r="AM19" s="375"/>
      <c r="AN19" s="393"/>
      <c r="AO19" s="444" t="s">
        <v>515</v>
      </c>
      <c r="AP19" s="310"/>
      <c r="AQ19" s="370"/>
      <c r="AR19" s="313"/>
      <c r="AS19" s="325"/>
      <c r="AT19" s="313"/>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75"/>
      <c r="BX19" s="375"/>
      <c r="BY19" s="375"/>
      <c r="BZ19" s="375"/>
      <c r="CA19" s="375"/>
      <c r="CB19" s="375"/>
      <c r="CC19" s="375"/>
      <c r="CD19" s="375"/>
      <c r="CE19" s="375"/>
      <c r="CF19" s="375"/>
      <c r="CG19" s="375"/>
      <c r="CH19" s="375"/>
      <c r="CI19" s="375"/>
      <c r="CJ19" s="375"/>
    </row>
    <row r="20" spans="1:88" s="74" customFormat="1" ht="14.25" customHeight="1">
      <c r="A20" s="403"/>
      <c r="B20" s="404">
        <v>15</v>
      </c>
      <c r="C20" s="57">
        <v>12</v>
      </c>
      <c r="D20" s="108" t="s">
        <v>278</v>
      </c>
      <c r="E20" s="62" t="s">
        <v>40</v>
      </c>
      <c r="F20" s="146"/>
      <c r="G20" s="185"/>
      <c r="H20" s="146"/>
      <c r="I20" s="185"/>
      <c r="J20" s="146"/>
      <c r="K20" s="185"/>
      <c r="L20" s="146"/>
      <c r="M20" s="185"/>
      <c r="N20" s="146"/>
      <c r="O20" s="185"/>
      <c r="P20" s="148"/>
      <c r="Q20" s="185"/>
      <c r="R20" s="148"/>
      <c r="S20" s="185"/>
      <c r="T20" s="148"/>
      <c r="U20" s="185"/>
      <c r="V20" s="148"/>
      <c r="W20" s="185"/>
      <c r="X20" s="148"/>
      <c r="Y20" s="185"/>
      <c r="Z20" s="148"/>
      <c r="AA20" s="185"/>
      <c r="AB20" s="146"/>
      <c r="AC20" s="185"/>
      <c r="AD20" s="148"/>
      <c r="AE20" s="185"/>
      <c r="AF20" s="148"/>
      <c r="AG20" s="185"/>
      <c r="AH20" s="148"/>
      <c r="AI20" s="185"/>
      <c r="AJ20" s="148"/>
      <c r="AK20" s="185"/>
      <c r="AM20" s="375"/>
      <c r="AN20" s="394">
        <v>12</v>
      </c>
      <c r="AO20" s="392" t="s">
        <v>654</v>
      </c>
      <c r="AP20" s="60" t="s">
        <v>169</v>
      </c>
      <c r="AQ20" s="370" t="s">
        <v>644</v>
      </c>
      <c r="AR20" s="313"/>
      <c r="AS20" s="325" t="str">
        <f aca="true" t="shared" si="15" ref="AS20:AS27">IF(OR(ISBLANK(F20),ISBLANK(H20)),"N/A",IF(ABS((H20-F20)/F20)&gt;1,"&gt; 100%","ok"))</f>
        <v>N/A</v>
      </c>
      <c r="AT20" s="313"/>
      <c r="AU20" s="325" t="str">
        <f aca="true" t="shared" si="16" ref="AU20:AU27">IF(OR(ISBLANK(H20),ISBLANK(J20)),"N/A",IF(ABS((J20-H20)/H20)&gt;0.25,"&gt; 25%","ok"))</f>
        <v>N/A</v>
      </c>
      <c r="AV20" s="325"/>
      <c r="AW20" s="325" t="str">
        <f aca="true" t="shared" si="17" ref="AW20:AW27">IF(OR(ISBLANK(J20),ISBLANK(L20)),"N/A",IF(ABS((L20-J20)/J20)&gt;0.25,"&gt; 25%","ok"))</f>
        <v>N/A</v>
      </c>
      <c r="AX20" s="325"/>
      <c r="AY20" s="325" t="str">
        <f aca="true" t="shared" si="18" ref="AY20:AY27">IF(OR(ISBLANK(L20),ISBLANK(N20)),"N/A",IF(ABS((N20-L20)/L20)&gt;0.25,"&gt; 25%","ok"))</f>
        <v>N/A</v>
      </c>
      <c r="AZ20" s="325"/>
      <c r="BA20" s="325" t="str">
        <f aca="true" t="shared" si="19" ref="BA20:BA27">IF(OR(ISBLANK(N20),ISBLANK(P20)),"N/A",IF(ABS((P20-N20)/N20)&gt;0.25,"&gt; 25%","ok"))</f>
        <v>N/A</v>
      </c>
      <c r="BB20" s="325"/>
      <c r="BC20" s="325" t="str">
        <f aca="true" t="shared" si="20" ref="BC20:BC27">IF(OR(ISBLANK(P20),ISBLANK(R20)),"N/A",IF(ABS((R20-P20)/P20)&gt;0.25,"&gt; 25%","ok"))</f>
        <v>N/A</v>
      </c>
      <c r="BD20" s="325"/>
      <c r="BE20" s="325" t="str">
        <f aca="true" t="shared" si="21" ref="BE20:BE27">IF(OR(ISBLANK(R20),ISBLANK(T20)),"N/A",IF(ABS((T20-R20)/R20)&gt;0.25,"&gt; 25%","ok"))</f>
        <v>N/A</v>
      </c>
      <c r="BF20" s="325"/>
      <c r="BG20" s="325" t="str">
        <f aca="true" t="shared" si="22" ref="BG20:BG27">IF(OR(ISBLANK(T20),ISBLANK(V20)),"N/A",IF(ABS((V20-T20)/T20)&gt;0.25,"&gt; 25%","ok"))</f>
        <v>N/A</v>
      </c>
      <c r="BH20" s="325"/>
      <c r="BI20" s="325" t="str">
        <f aca="true" t="shared" si="23" ref="BI20:BI27">IF(OR(ISBLANK(V20),ISBLANK(X20)),"N/A",IF(ABS((X20-V20)/V20)&gt;0.25,"&gt; 25%","ok"))</f>
        <v>N/A</v>
      </c>
      <c r="BJ20" s="325"/>
      <c r="BK20" s="325" t="str">
        <f aca="true" t="shared" si="24" ref="BK20:BK27">IF(OR(ISBLANK(X20),ISBLANK(Z20)),"N/A",IF(ABS((Z20-X20)/X20)&gt;0.25,"&gt; 25%","ok"))</f>
        <v>N/A</v>
      </c>
      <c r="BL20" s="325"/>
      <c r="BM20" s="325" t="str">
        <f aca="true" t="shared" si="25" ref="BM20:BM27">IF(OR(ISBLANK(Z20),ISBLANK(AB20)),"N/A",IF(ABS((AB20-Z20)/Z20)&gt;0.25,"&gt; 25%","ok"))</f>
        <v>N/A</v>
      </c>
      <c r="BN20" s="325"/>
      <c r="BO20" s="325" t="str">
        <f aca="true" t="shared" si="26" ref="BO20:BO27">IF(OR(ISBLANK(AB20),ISBLANK(AD20)),"N/A",IF(ABS((AD20-AB20)/AB20)&gt;0.25,"&gt; 25%","ok"))</f>
        <v>N/A</v>
      </c>
      <c r="BP20" s="325"/>
      <c r="BQ20" s="325" t="str">
        <f aca="true" t="shared" si="27" ref="BQ20:BQ27">IF(OR(ISBLANK(AD20),ISBLANK(AF20)),"N/A",IF(ABS((AF20-AD20)/AD20)&gt;0.25,"&gt; 25%","ok"))</f>
        <v>N/A</v>
      </c>
      <c r="BR20" s="325"/>
      <c r="BS20" s="325" t="str">
        <f aca="true" t="shared" si="28" ref="BS20:BS27">IF(OR(ISBLANK(AF20),ISBLANK(AH20)),"N/A",IF(ABS((AH20-AF20)/AF20)&gt;0.25,"&gt; 25%","ok"))</f>
        <v>N/A</v>
      </c>
      <c r="BT20" s="325"/>
      <c r="BU20" s="325" t="str">
        <f aca="true" t="shared" si="29" ref="BU20:BU27">IF(OR(ISBLANK(AH20),ISBLANK(AJ20)),"N/A",IF(ABS((AJ20-AH20)/AH20)&gt;0.25,"&gt; 25%","ok"))</f>
        <v>N/A</v>
      </c>
      <c r="BV20" s="325"/>
      <c r="BW20" s="375"/>
      <c r="BX20" s="375"/>
      <c r="BY20" s="375"/>
      <c r="BZ20" s="375"/>
      <c r="CA20" s="375"/>
      <c r="CB20" s="375"/>
      <c r="CC20" s="375"/>
      <c r="CD20" s="375"/>
      <c r="CE20" s="375"/>
      <c r="CF20" s="375"/>
      <c r="CG20" s="375"/>
      <c r="CH20" s="375"/>
      <c r="CI20" s="375"/>
      <c r="CJ20" s="375"/>
    </row>
    <row r="21" spans="1:88" s="126" customFormat="1" ht="14.25" customHeight="1">
      <c r="A21" s="399"/>
      <c r="B21" s="404">
        <v>52</v>
      </c>
      <c r="C21" s="94">
        <v>13</v>
      </c>
      <c r="D21" s="108" t="s">
        <v>70</v>
      </c>
      <c r="E21" s="62" t="s">
        <v>40</v>
      </c>
      <c r="F21" s="139"/>
      <c r="G21" s="180"/>
      <c r="H21" s="155"/>
      <c r="I21" s="180"/>
      <c r="J21" s="155"/>
      <c r="K21" s="180"/>
      <c r="L21" s="155"/>
      <c r="M21" s="180"/>
      <c r="N21" s="155"/>
      <c r="O21" s="180"/>
      <c r="P21" s="139"/>
      <c r="Q21" s="180"/>
      <c r="R21" s="139"/>
      <c r="S21" s="180"/>
      <c r="T21" s="139"/>
      <c r="U21" s="180"/>
      <c r="V21" s="139"/>
      <c r="W21" s="180"/>
      <c r="X21" s="139"/>
      <c r="Y21" s="180"/>
      <c r="Z21" s="139"/>
      <c r="AA21" s="180"/>
      <c r="AB21" s="155"/>
      <c r="AC21" s="180"/>
      <c r="AD21" s="139"/>
      <c r="AE21" s="180"/>
      <c r="AF21" s="139"/>
      <c r="AG21" s="180"/>
      <c r="AH21" s="139"/>
      <c r="AI21" s="180"/>
      <c r="AJ21" s="139"/>
      <c r="AK21" s="180"/>
      <c r="AM21" s="309"/>
      <c r="AN21" s="395">
        <v>13</v>
      </c>
      <c r="AO21" s="392" t="s">
        <v>175</v>
      </c>
      <c r="AP21" s="60" t="s">
        <v>169</v>
      </c>
      <c r="AQ21" s="370" t="s">
        <v>644</v>
      </c>
      <c r="AR21" s="192"/>
      <c r="AS21" s="325" t="str">
        <f t="shared" si="15"/>
        <v>N/A</v>
      </c>
      <c r="AT21" s="313"/>
      <c r="AU21" s="325" t="str">
        <f t="shared" si="16"/>
        <v>N/A</v>
      </c>
      <c r="AV21" s="325"/>
      <c r="AW21" s="325" t="str">
        <f t="shared" si="17"/>
        <v>N/A</v>
      </c>
      <c r="AX21" s="325"/>
      <c r="AY21" s="325" t="str">
        <f t="shared" si="18"/>
        <v>N/A</v>
      </c>
      <c r="AZ21" s="325"/>
      <c r="BA21" s="325" t="str">
        <f t="shared" si="19"/>
        <v>N/A</v>
      </c>
      <c r="BB21" s="325"/>
      <c r="BC21" s="325" t="str">
        <f t="shared" si="20"/>
        <v>N/A</v>
      </c>
      <c r="BD21" s="325"/>
      <c r="BE21" s="325" t="str">
        <f t="shared" si="21"/>
        <v>N/A</v>
      </c>
      <c r="BF21" s="325"/>
      <c r="BG21" s="325" t="str">
        <f t="shared" si="22"/>
        <v>N/A</v>
      </c>
      <c r="BH21" s="325"/>
      <c r="BI21" s="325" t="str">
        <f t="shared" si="23"/>
        <v>N/A</v>
      </c>
      <c r="BJ21" s="325"/>
      <c r="BK21" s="325" t="str">
        <f t="shared" si="24"/>
        <v>N/A</v>
      </c>
      <c r="BL21" s="325"/>
      <c r="BM21" s="325" t="str">
        <f t="shared" si="25"/>
        <v>N/A</v>
      </c>
      <c r="BN21" s="325"/>
      <c r="BO21" s="325" t="str">
        <f t="shared" si="26"/>
        <v>N/A</v>
      </c>
      <c r="BP21" s="325"/>
      <c r="BQ21" s="325" t="str">
        <f t="shared" si="27"/>
        <v>N/A</v>
      </c>
      <c r="BR21" s="325"/>
      <c r="BS21" s="325" t="str">
        <f t="shared" si="28"/>
        <v>N/A</v>
      </c>
      <c r="BT21" s="325"/>
      <c r="BU21" s="325" t="str">
        <f t="shared" si="29"/>
        <v>N/A</v>
      </c>
      <c r="BV21" s="325"/>
      <c r="BW21" s="309"/>
      <c r="BX21" s="309"/>
      <c r="BY21" s="309"/>
      <c r="BZ21" s="309"/>
      <c r="CA21" s="309"/>
      <c r="CB21" s="309"/>
      <c r="CC21" s="309"/>
      <c r="CD21" s="309"/>
      <c r="CE21" s="309"/>
      <c r="CF21" s="309"/>
      <c r="CG21" s="309"/>
      <c r="CH21" s="309"/>
      <c r="CI21" s="309"/>
      <c r="CJ21" s="309"/>
    </row>
    <row r="22" spans="1:88" s="217" customFormat="1" ht="22.5" customHeight="1">
      <c r="A22" s="401"/>
      <c r="B22" s="404">
        <v>16</v>
      </c>
      <c r="C22" s="57">
        <v>14</v>
      </c>
      <c r="D22" s="348" t="s">
        <v>71</v>
      </c>
      <c r="E22" s="62" t="s">
        <v>40</v>
      </c>
      <c r="F22" s="139"/>
      <c r="G22" s="180"/>
      <c r="H22" s="155"/>
      <c r="I22" s="180"/>
      <c r="J22" s="155"/>
      <c r="K22" s="180"/>
      <c r="L22" s="155"/>
      <c r="M22" s="180"/>
      <c r="N22" s="155"/>
      <c r="O22" s="180"/>
      <c r="P22" s="139"/>
      <c r="Q22" s="180"/>
      <c r="R22" s="139"/>
      <c r="S22" s="180"/>
      <c r="T22" s="139"/>
      <c r="U22" s="180"/>
      <c r="V22" s="139"/>
      <c r="W22" s="180"/>
      <c r="X22" s="139"/>
      <c r="Y22" s="180"/>
      <c r="Z22" s="139"/>
      <c r="AA22" s="180"/>
      <c r="AB22" s="155"/>
      <c r="AC22" s="180"/>
      <c r="AD22" s="139"/>
      <c r="AE22" s="180"/>
      <c r="AF22" s="139"/>
      <c r="AG22" s="180"/>
      <c r="AH22" s="139"/>
      <c r="AI22" s="180"/>
      <c r="AJ22" s="139"/>
      <c r="AK22" s="180"/>
      <c r="AM22" s="359"/>
      <c r="AN22" s="394">
        <v>14</v>
      </c>
      <c r="AO22" s="392" t="s">
        <v>504</v>
      </c>
      <c r="AP22" s="60" t="s">
        <v>169</v>
      </c>
      <c r="AQ22" s="370" t="s">
        <v>644</v>
      </c>
      <c r="AR22" s="192"/>
      <c r="AS22" s="325" t="str">
        <f t="shared" si="15"/>
        <v>N/A</v>
      </c>
      <c r="AT22" s="313"/>
      <c r="AU22" s="325" t="str">
        <f t="shared" si="16"/>
        <v>N/A</v>
      </c>
      <c r="AV22" s="325"/>
      <c r="AW22" s="325" t="str">
        <f t="shared" si="17"/>
        <v>N/A</v>
      </c>
      <c r="AX22" s="325"/>
      <c r="AY22" s="325" t="str">
        <f t="shared" si="18"/>
        <v>N/A</v>
      </c>
      <c r="AZ22" s="325"/>
      <c r="BA22" s="325" t="str">
        <f t="shared" si="19"/>
        <v>N/A</v>
      </c>
      <c r="BB22" s="325"/>
      <c r="BC22" s="325" t="str">
        <f t="shared" si="20"/>
        <v>N/A</v>
      </c>
      <c r="BD22" s="325"/>
      <c r="BE22" s="325" t="str">
        <f t="shared" si="21"/>
        <v>N/A</v>
      </c>
      <c r="BF22" s="325"/>
      <c r="BG22" s="325" t="str">
        <f t="shared" si="22"/>
        <v>N/A</v>
      </c>
      <c r="BH22" s="325"/>
      <c r="BI22" s="325" t="str">
        <f t="shared" si="23"/>
        <v>N/A</v>
      </c>
      <c r="BJ22" s="325"/>
      <c r="BK22" s="325" t="str">
        <f t="shared" si="24"/>
        <v>N/A</v>
      </c>
      <c r="BL22" s="325"/>
      <c r="BM22" s="325" t="str">
        <f t="shared" si="25"/>
        <v>N/A</v>
      </c>
      <c r="BN22" s="325"/>
      <c r="BO22" s="325" t="str">
        <f t="shared" si="26"/>
        <v>N/A</v>
      </c>
      <c r="BP22" s="325"/>
      <c r="BQ22" s="325" t="str">
        <f t="shared" si="27"/>
        <v>N/A</v>
      </c>
      <c r="BR22" s="325"/>
      <c r="BS22" s="325" t="str">
        <f t="shared" si="28"/>
        <v>N/A</v>
      </c>
      <c r="BT22" s="325"/>
      <c r="BU22" s="325" t="str">
        <f t="shared" si="29"/>
        <v>N/A</v>
      </c>
      <c r="BV22" s="325"/>
      <c r="BW22" s="359"/>
      <c r="BX22" s="359"/>
      <c r="BY22" s="359"/>
      <c r="BZ22" s="359"/>
      <c r="CA22" s="359"/>
      <c r="CB22" s="359"/>
      <c r="CC22" s="359"/>
      <c r="CD22" s="359"/>
      <c r="CE22" s="359"/>
      <c r="CF22" s="359"/>
      <c r="CG22" s="359"/>
      <c r="CH22" s="359"/>
      <c r="CI22" s="359"/>
      <c r="CJ22" s="359"/>
    </row>
    <row r="23" spans="1:88" s="217" customFormat="1" ht="14.25" customHeight="1">
      <c r="A23" s="399"/>
      <c r="B23" s="404">
        <v>18</v>
      </c>
      <c r="C23" s="57">
        <v>15</v>
      </c>
      <c r="D23" s="348" t="s">
        <v>72</v>
      </c>
      <c r="E23" s="62" t="s">
        <v>40</v>
      </c>
      <c r="F23" s="139"/>
      <c r="G23" s="180"/>
      <c r="H23" s="155"/>
      <c r="I23" s="180"/>
      <c r="J23" s="155"/>
      <c r="K23" s="180"/>
      <c r="L23" s="155"/>
      <c r="M23" s="180"/>
      <c r="N23" s="155"/>
      <c r="O23" s="180"/>
      <c r="P23" s="139"/>
      <c r="Q23" s="180"/>
      <c r="R23" s="139"/>
      <c r="S23" s="180"/>
      <c r="T23" s="139"/>
      <c r="U23" s="180"/>
      <c r="V23" s="139"/>
      <c r="W23" s="180"/>
      <c r="X23" s="139"/>
      <c r="Y23" s="180"/>
      <c r="Z23" s="139"/>
      <c r="AA23" s="180"/>
      <c r="AB23" s="155"/>
      <c r="AC23" s="180"/>
      <c r="AD23" s="139"/>
      <c r="AE23" s="180"/>
      <c r="AF23" s="139"/>
      <c r="AG23" s="180"/>
      <c r="AH23" s="139"/>
      <c r="AI23" s="180"/>
      <c r="AJ23" s="139"/>
      <c r="AK23" s="180"/>
      <c r="AM23" s="359"/>
      <c r="AN23" s="394">
        <v>15</v>
      </c>
      <c r="AO23" s="392" t="s">
        <v>505</v>
      </c>
      <c r="AP23" s="60" t="s">
        <v>169</v>
      </c>
      <c r="AQ23" s="370" t="s">
        <v>644</v>
      </c>
      <c r="AR23" s="192"/>
      <c r="AS23" s="325" t="str">
        <f t="shared" si="15"/>
        <v>N/A</v>
      </c>
      <c r="AT23" s="313"/>
      <c r="AU23" s="325" t="str">
        <f t="shared" si="16"/>
        <v>N/A</v>
      </c>
      <c r="AV23" s="325"/>
      <c r="AW23" s="325" t="str">
        <f t="shared" si="17"/>
        <v>N/A</v>
      </c>
      <c r="AX23" s="325"/>
      <c r="AY23" s="325" t="str">
        <f t="shared" si="18"/>
        <v>N/A</v>
      </c>
      <c r="AZ23" s="325"/>
      <c r="BA23" s="325" t="str">
        <f t="shared" si="19"/>
        <v>N/A</v>
      </c>
      <c r="BB23" s="325"/>
      <c r="BC23" s="325" t="str">
        <f t="shared" si="20"/>
        <v>N/A</v>
      </c>
      <c r="BD23" s="325"/>
      <c r="BE23" s="325" t="str">
        <f t="shared" si="21"/>
        <v>N/A</v>
      </c>
      <c r="BF23" s="325"/>
      <c r="BG23" s="325" t="str">
        <f t="shared" si="22"/>
        <v>N/A</v>
      </c>
      <c r="BH23" s="325"/>
      <c r="BI23" s="325" t="str">
        <f t="shared" si="23"/>
        <v>N/A</v>
      </c>
      <c r="BJ23" s="325"/>
      <c r="BK23" s="325" t="str">
        <f t="shared" si="24"/>
        <v>N/A</v>
      </c>
      <c r="BL23" s="325"/>
      <c r="BM23" s="325" t="str">
        <f t="shared" si="25"/>
        <v>N/A</v>
      </c>
      <c r="BN23" s="325"/>
      <c r="BO23" s="325" t="str">
        <f t="shared" si="26"/>
        <v>N/A</v>
      </c>
      <c r="BP23" s="325"/>
      <c r="BQ23" s="325" t="str">
        <f t="shared" si="27"/>
        <v>N/A</v>
      </c>
      <c r="BR23" s="325"/>
      <c r="BS23" s="325" t="str">
        <f t="shared" si="28"/>
        <v>N/A</v>
      </c>
      <c r="BT23" s="325"/>
      <c r="BU23" s="325" t="str">
        <f t="shared" si="29"/>
        <v>N/A</v>
      </c>
      <c r="BV23" s="325"/>
      <c r="BW23" s="359"/>
      <c r="BX23" s="359"/>
      <c r="BY23" s="359"/>
      <c r="BZ23" s="359"/>
      <c r="CA23" s="359"/>
      <c r="CB23" s="359"/>
      <c r="CC23" s="359"/>
      <c r="CD23" s="359"/>
      <c r="CE23" s="359"/>
      <c r="CF23" s="359"/>
      <c r="CG23" s="359"/>
      <c r="CH23" s="359"/>
      <c r="CI23" s="359"/>
      <c r="CJ23" s="359"/>
    </row>
    <row r="24" spans="1:88" s="217" customFormat="1" ht="14.25" customHeight="1">
      <c r="A24" s="399"/>
      <c r="B24" s="404">
        <v>21</v>
      </c>
      <c r="C24" s="57">
        <v>16</v>
      </c>
      <c r="D24" s="108" t="s">
        <v>73</v>
      </c>
      <c r="E24" s="62" t="s">
        <v>40</v>
      </c>
      <c r="F24" s="139"/>
      <c r="G24" s="180"/>
      <c r="H24" s="155"/>
      <c r="I24" s="180"/>
      <c r="J24" s="155"/>
      <c r="K24" s="180"/>
      <c r="L24" s="155"/>
      <c r="M24" s="180"/>
      <c r="N24" s="155"/>
      <c r="O24" s="180"/>
      <c r="P24" s="139"/>
      <c r="Q24" s="180"/>
      <c r="R24" s="139"/>
      <c r="S24" s="180"/>
      <c r="T24" s="139"/>
      <c r="U24" s="180"/>
      <c r="V24" s="139"/>
      <c r="W24" s="180"/>
      <c r="X24" s="139"/>
      <c r="Y24" s="180"/>
      <c r="Z24" s="139"/>
      <c r="AA24" s="180"/>
      <c r="AB24" s="155"/>
      <c r="AC24" s="180"/>
      <c r="AD24" s="139"/>
      <c r="AE24" s="180"/>
      <c r="AF24" s="139"/>
      <c r="AG24" s="180"/>
      <c r="AH24" s="139"/>
      <c r="AI24" s="180"/>
      <c r="AJ24" s="139"/>
      <c r="AK24" s="180"/>
      <c r="AM24" s="359"/>
      <c r="AN24" s="394">
        <v>16</v>
      </c>
      <c r="AO24" s="391" t="s">
        <v>676</v>
      </c>
      <c r="AP24" s="60" t="s">
        <v>169</v>
      </c>
      <c r="AQ24" s="370" t="s">
        <v>644</v>
      </c>
      <c r="AR24" s="192"/>
      <c r="AS24" s="325" t="str">
        <f t="shared" si="15"/>
        <v>N/A</v>
      </c>
      <c r="AT24" s="313"/>
      <c r="AU24" s="325" t="str">
        <f t="shared" si="16"/>
        <v>N/A</v>
      </c>
      <c r="AV24" s="325"/>
      <c r="AW24" s="325" t="str">
        <f t="shared" si="17"/>
        <v>N/A</v>
      </c>
      <c r="AX24" s="325"/>
      <c r="AY24" s="325" t="str">
        <f t="shared" si="18"/>
        <v>N/A</v>
      </c>
      <c r="AZ24" s="325"/>
      <c r="BA24" s="325" t="str">
        <f t="shared" si="19"/>
        <v>N/A</v>
      </c>
      <c r="BB24" s="325"/>
      <c r="BC24" s="325" t="str">
        <f t="shared" si="20"/>
        <v>N/A</v>
      </c>
      <c r="BD24" s="325"/>
      <c r="BE24" s="325" t="str">
        <f t="shared" si="21"/>
        <v>N/A</v>
      </c>
      <c r="BF24" s="325"/>
      <c r="BG24" s="325" t="str">
        <f t="shared" si="22"/>
        <v>N/A</v>
      </c>
      <c r="BH24" s="325"/>
      <c r="BI24" s="325" t="str">
        <f t="shared" si="23"/>
        <v>N/A</v>
      </c>
      <c r="BJ24" s="325"/>
      <c r="BK24" s="325" t="str">
        <f t="shared" si="24"/>
        <v>N/A</v>
      </c>
      <c r="BL24" s="325"/>
      <c r="BM24" s="325" t="str">
        <f t="shared" si="25"/>
        <v>N/A</v>
      </c>
      <c r="BN24" s="325"/>
      <c r="BO24" s="325" t="str">
        <f t="shared" si="26"/>
        <v>N/A</v>
      </c>
      <c r="BP24" s="325"/>
      <c r="BQ24" s="325" t="str">
        <f t="shared" si="27"/>
        <v>N/A</v>
      </c>
      <c r="BR24" s="325"/>
      <c r="BS24" s="325" t="str">
        <f t="shared" si="28"/>
        <v>N/A</v>
      </c>
      <c r="BT24" s="325"/>
      <c r="BU24" s="325" t="str">
        <f t="shared" si="29"/>
        <v>N/A</v>
      </c>
      <c r="BV24" s="325"/>
      <c r="BW24" s="359"/>
      <c r="BX24" s="359"/>
      <c r="BY24" s="359"/>
      <c r="BZ24" s="359"/>
      <c r="CA24" s="359"/>
      <c r="CB24" s="359"/>
      <c r="CC24" s="359"/>
      <c r="CD24" s="359"/>
      <c r="CE24" s="359"/>
      <c r="CF24" s="359"/>
      <c r="CG24" s="359"/>
      <c r="CH24" s="359"/>
      <c r="CI24" s="359"/>
      <c r="CJ24" s="359"/>
    </row>
    <row r="25" spans="1:88" s="217" customFormat="1" ht="14.25" customHeight="1">
      <c r="A25" s="399"/>
      <c r="B25" s="404">
        <v>27</v>
      </c>
      <c r="C25" s="57">
        <v>17</v>
      </c>
      <c r="D25" s="108" t="s">
        <v>74</v>
      </c>
      <c r="E25" s="62" t="s">
        <v>40</v>
      </c>
      <c r="F25" s="139"/>
      <c r="G25" s="180"/>
      <c r="H25" s="155"/>
      <c r="I25" s="180"/>
      <c r="J25" s="155"/>
      <c r="K25" s="180"/>
      <c r="L25" s="155"/>
      <c r="M25" s="180"/>
      <c r="N25" s="155"/>
      <c r="O25" s="180"/>
      <c r="P25" s="139"/>
      <c r="Q25" s="180"/>
      <c r="R25" s="139"/>
      <c r="S25" s="180"/>
      <c r="T25" s="139"/>
      <c r="U25" s="180"/>
      <c r="V25" s="139"/>
      <c r="W25" s="180"/>
      <c r="X25" s="139"/>
      <c r="Y25" s="180"/>
      <c r="Z25" s="139"/>
      <c r="AA25" s="180"/>
      <c r="AB25" s="155"/>
      <c r="AC25" s="180"/>
      <c r="AD25" s="139"/>
      <c r="AE25" s="180"/>
      <c r="AF25" s="139"/>
      <c r="AG25" s="180"/>
      <c r="AH25" s="139"/>
      <c r="AI25" s="180"/>
      <c r="AJ25" s="139"/>
      <c r="AK25" s="180"/>
      <c r="AM25" s="359"/>
      <c r="AN25" s="394">
        <v>17</v>
      </c>
      <c r="AO25" s="392" t="s">
        <v>176</v>
      </c>
      <c r="AP25" s="60" t="s">
        <v>169</v>
      </c>
      <c r="AQ25" s="370" t="s">
        <v>644</v>
      </c>
      <c r="AR25" s="192"/>
      <c r="AS25" s="325" t="str">
        <f t="shared" si="15"/>
        <v>N/A</v>
      </c>
      <c r="AT25" s="313"/>
      <c r="AU25" s="325" t="str">
        <f t="shared" si="16"/>
        <v>N/A</v>
      </c>
      <c r="AV25" s="325"/>
      <c r="AW25" s="325" t="str">
        <f t="shared" si="17"/>
        <v>N/A</v>
      </c>
      <c r="AX25" s="325"/>
      <c r="AY25" s="325" t="str">
        <f t="shared" si="18"/>
        <v>N/A</v>
      </c>
      <c r="AZ25" s="325"/>
      <c r="BA25" s="325" t="str">
        <f t="shared" si="19"/>
        <v>N/A</v>
      </c>
      <c r="BB25" s="325"/>
      <c r="BC25" s="325" t="str">
        <f t="shared" si="20"/>
        <v>N/A</v>
      </c>
      <c r="BD25" s="325"/>
      <c r="BE25" s="325" t="str">
        <f t="shared" si="21"/>
        <v>N/A</v>
      </c>
      <c r="BF25" s="325"/>
      <c r="BG25" s="325" t="str">
        <f t="shared" si="22"/>
        <v>N/A</v>
      </c>
      <c r="BH25" s="325"/>
      <c r="BI25" s="325" t="str">
        <f t="shared" si="23"/>
        <v>N/A</v>
      </c>
      <c r="BJ25" s="325"/>
      <c r="BK25" s="325" t="str">
        <f t="shared" si="24"/>
        <v>N/A</v>
      </c>
      <c r="BL25" s="325"/>
      <c r="BM25" s="325" t="str">
        <f t="shared" si="25"/>
        <v>N/A</v>
      </c>
      <c r="BN25" s="325"/>
      <c r="BO25" s="325" t="str">
        <f t="shared" si="26"/>
        <v>N/A</v>
      </c>
      <c r="BP25" s="325"/>
      <c r="BQ25" s="325" t="str">
        <f t="shared" si="27"/>
        <v>N/A</v>
      </c>
      <c r="BR25" s="325"/>
      <c r="BS25" s="325" t="str">
        <f t="shared" si="28"/>
        <v>N/A</v>
      </c>
      <c r="BT25" s="325"/>
      <c r="BU25" s="325" t="str">
        <f t="shared" si="29"/>
        <v>N/A</v>
      </c>
      <c r="BV25" s="325"/>
      <c r="BW25" s="359"/>
      <c r="BX25" s="359"/>
      <c r="BY25" s="359"/>
      <c r="BZ25" s="359"/>
      <c r="CA25" s="359"/>
      <c r="CB25" s="359"/>
      <c r="CC25" s="359"/>
      <c r="CD25" s="359"/>
      <c r="CE25" s="359"/>
      <c r="CF25" s="359"/>
      <c r="CG25" s="359"/>
      <c r="CH25" s="359"/>
      <c r="CI25" s="359"/>
      <c r="CJ25" s="359"/>
    </row>
    <row r="26" spans="1:88" s="126" customFormat="1" ht="12.75">
      <c r="A26" s="399"/>
      <c r="B26" s="404">
        <v>5005</v>
      </c>
      <c r="C26" s="59"/>
      <c r="D26" s="76" t="s">
        <v>75</v>
      </c>
      <c r="E26" s="59"/>
      <c r="F26" s="147"/>
      <c r="G26" s="192"/>
      <c r="H26" s="147"/>
      <c r="I26" s="192"/>
      <c r="J26" s="147"/>
      <c r="K26" s="192"/>
      <c r="L26" s="147"/>
      <c r="M26" s="192"/>
      <c r="N26" s="147"/>
      <c r="O26" s="192"/>
      <c r="P26" s="142"/>
      <c r="Q26" s="192"/>
      <c r="R26" s="142"/>
      <c r="S26" s="192"/>
      <c r="T26" s="142"/>
      <c r="U26" s="192"/>
      <c r="V26" s="142"/>
      <c r="W26" s="192"/>
      <c r="X26" s="142"/>
      <c r="Y26" s="192"/>
      <c r="Z26" s="142"/>
      <c r="AA26" s="192"/>
      <c r="AB26" s="147"/>
      <c r="AC26" s="192"/>
      <c r="AD26" s="142"/>
      <c r="AE26" s="192"/>
      <c r="AF26" s="142"/>
      <c r="AG26" s="192"/>
      <c r="AH26" s="142"/>
      <c r="AI26" s="192"/>
      <c r="AJ26" s="142"/>
      <c r="AK26" s="192"/>
      <c r="AM26" s="309"/>
      <c r="AN26" s="59"/>
      <c r="AO26" s="76" t="s">
        <v>663</v>
      </c>
      <c r="AP26" s="59"/>
      <c r="AQ26" s="147"/>
      <c r="AR26" s="192"/>
      <c r="AS26" s="325" t="str">
        <f t="shared" si="15"/>
        <v>N/A</v>
      </c>
      <c r="AT26" s="313"/>
      <c r="AU26" s="325" t="str">
        <f t="shared" si="16"/>
        <v>N/A</v>
      </c>
      <c r="AV26" s="325"/>
      <c r="AW26" s="325" t="str">
        <f t="shared" si="17"/>
        <v>N/A</v>
      </c>
      <c r="AX26" s="325"/>
      <c r="AY26" s="325" t="str">
        <f t="shared" si="18"/>
        <v>N/A</v>
      </c>
      <c r="AZ26" s="325"/>
      <c r="BA26" s="325" t="str">
        <f t="shared" si="19"/>
        <v>N/A</v>
      </c>
      <c r="BB26" s="325"/>
      <c r="BC26" s="325" t="str">
        <f t="shared" si="20"/>
        <v>N/A</v>
      </c>
      <c r="BD26" s="325"/>
      <c r="BE26" s="325" t="str">
        <f t="shared" si="21"/>
        <v>N/A</v>
      </c>
      <c r="BF26" s="325"/>
      <c r="BG26" s="325" t="str">
        <f t="shared" si="22"/>
        <v>N/A</v>
      </c>
      <c r="BH26" s="325"/>
      <c r="BI26" s="325" t="str">
        <f t="shared" si="23"/>
        <v>N/A</v>
      </c>
      <c r="BJ26" s="325"/>
      <c r="BK26" s="325" t="str">
        <f t="shared" si="24"/>
        <v>N/A</v>
      </c>
      <c r="BL26" s="325"/>
      <c r="BM26" s="325" t="str">
        <f t="shared" si="25"/>
        <v>N/A</v>
      </c>
      <c r="BN26" s="325"/>
      <c r="BO26" s="325" t="str">
        <f t="shared" si="26"/>
        <v>N/A</v>
      </c>
      <c r="BP26" s="325"/>
      <c r="BQ26" s="325" t="str">
        <f t="shared" si="27"/>
        <v>N/A</v>
      </c>
      <c r="BR26" s="325"/>
      <c r="BS26" s="325" t="str">
        <f t="shared" si="28"/>
        <v>N/A</v>
      </c>
      <c r="BT26" s="325"/>
      <c r="BU26" s="325" t="str">
        <f t="shared" si="29"/>
        <v>N/A</v>
      </c>
      <c r="BV26" s="325"/>
      <c r="BW26" s="309"/>
      <c r="BX26" s="309"/>
      <c r="BY26" s="309"/>
      <c r="BZ26" s="309"/>
      <c r="CA26" s="309"/>
      <c r="CB26" s="309"/>
      <c r="CC26" s="309"/>
      <c r="CD26" s="309"/>
      <c r="CE26" s="309"/>
      <c r="CF26" s="309"/>
      <c r="CG26" s="309"/>
      <c r="CH26" s="309"/>
      <c r="CI26" s="309"/>
      <c r="CJ26" s="309"/>
    </row>
    <row r="27" spans="1:88" s="74" customFormat="1" ht="27.75" customHeight="1">
      <c r="A27" s="403" t="s">
        <v>626</v>
      </c>
      <c r="B27" s="404">
        <v>25</v>
      </c>
      <c r="C27" s="69">
        <v>21</v>
      </c>
      <c r="D27" s="220" t="s">
        <v>678</v>
      </c>
      <c r="E27" s="62" t="s">
        <v>40</v>
      </c>
      <c r="F27" s="146"/>
      <c r="G27" s="185"/>
      <c r="H27" s="535"/>
      <c r="I27" s="526"/>
      <c r="J27" s="535"/>
      <c r="K27" s="526"/>
      <c r="L27" s="535"/>
      <c r="M27" s="526"/>
      <c r="N27" s="535"/>
      <c r="O27" s="526"/>
      <c r="P27" s="535"/>
      <c r="Q27" s="185"/>
      <c r="R27" s="146"/>
      <c r="S27" s="185"/>
      <c r="T27" s="146"/>
      <c r="U27" s="185"/>
      <c r="V27" s="146"/>
      <c r="W27" s="185"/>
      <c r="X27" s="146"/>
      <c r="Y27" s="185"/>
      <c r="Z27" s="146"/>
      <c r="AA27" s="185"/>
      <c r="AB27" s="146"/>
      <c r="AC27" s="185"/>
      <c r="AD27" s="146"/>
      <c r="AE27" s="185"/>
      <c r="AF27" s="146"/>
      <c r="AG27" s="185"/>
      <c r="AH27" s="146"/>
      <c r="AI27" s="185"/>
      <c r="AJ27" s="146"/>
      <c r="AK27" s="185"/>
      <c r="AM27" s="375"/>
      <c r="AN27" s="379">
        <v>21</v>
      </c>
      <c r="AO27" s="389" t="s">
        <v>665</v>
      </c>
      <c r="AP27" s="310" t="s">
        <v>169</v>
      </c>
      <c r="AQ27" s="370" t="s">
        <v>644</v>
      </c>
      <c r="AR27" s="313"/>
      <c r="AS27" s="325" t="str">
        <f t="shared" si="15"/>
        <v>N/A</v>
      </c>
      <c r="AT27" s="313"/>
      <c r="AU27" s="325" t="str">
        <f t="shared" si="16"/>
        <v>N/A</v>
      </c>
      <c r="AV27" s="325"/>
      <c r="AW27" s="325" t="str">
        <f t="shared" si="17"/>
        <v>N/A</v>
      </c>
      <c r="AX27" s="325"/>
      <c r="AY27" s="325" t="str">
        <f t="shared" si="18"/>
        <v>N/A</v>
      </c>
      <c r="AZ27" s="325"/>
      <c r="BA27" s="325" t="str">
        <f t="shared" si="19"/>
        <v>N/A</v>
      </c>
      <c r="BB27" s="325"/>
      <c r="BC27" s="325" t="str">
        <f t="shared" si="20"/>
        <v>N/A</v>
      </c>
      <c r="BD27" s="325"/>
      <c r="BE27" s="325" t="str">
        <f t="shared" si="21"/>
        <v>N/A</v>
      </c>
      <c r="BF27" s="325"/>
      <c r="BG27" s="325" t="str">
        <f t="shared" si="22"/>
        <v>N/A</v>
      </c>
      <c r="BH27" s="325"/>
      <c r="BI27" s="325" t="str">
        <f t="shared" si="23"/>
        <v>N/A</v>
      </c>
      <c r="BJ27" s="325"/>
      <c r="BK27" s="325" t="str">
        <f t="shared" si="24"/>
        <v>N/A</v>
      </c>
      <c r="BL27" s="325"/>
      <c r="BM27" s="325" t="str">
        <f t="shared" si="25"/>
        <v>N/A</v>
      </c>
      <c r="BN27" s="325"/>
      <c r="BO27" s="325" t="str">
        <f t="shared" si="26"/>
        <v>N/A</v>
      </c>
      <c r="BP27" s="325"/>
      <c r="BQ27" s="325" t="str">
        <f t="shared" si="27"/>
        <v>N/A</v>
      </c>
      <c r="BR27" s="325"/>
      <c r="BS27" s="325" t="str">
        <f t="shared" si="28"/>
        <v>N/A</v>
      </c>
      <c r="BT27" s="325"/>
      <c r="BU27" s="325" t="str">
        <f t="shared" si="29"/>
        <v>N/A</v>
      </c>
      <c r="BV27" s="325"/>
      <c r="BW27" s="375"/>
      <c r="BX27" s="375"/>
      <c r="BY27" s="375"/>
      <c r="BZ27" s="375"/>
      <c r="CA27" s="375"/>
      <c r="CB27" s="375"/>
      <c r="CC27" s="375"/>
      <c r="CD27" s="375"/>
      <c r="CE27" s="375"/>
      <c r="CF27" s="375"/>
      <c r="CG27" s="375"/>
      <c r="CH27" s="375"/>
      <c r="CI27" s="375"/>
      <c r="CJ27" s="375"/>
    </row>
    <row r="28" spans="1:88" s="74" customFormat="1" ht="14.25" customHeight="1">
      <c r="A28" s="403"/>
      <c r="B28" s="404">
        <v>5006</v>
      </c>
      <c r="C28" s="69"/>
      <c r="D28" s="511" t="s">
        <v>61</v>
      </c>
      <c r="E28" s="70"/>
      <c r="F28" s="146"/>
      <c r="G28" s="185"/>
      <c r="H28" s="146"/>
      <c r="I28" s="185"/>
      <c r="J28" s="146"/>
      <c r="K28" s="185"/>
      <c r="L28" s="146"/>
      <c r="M28" s="185"/>
      <c r="N28" s="146"/>
      <c r="O28" s="185"/>
      <c r="P28" s="146"/>
      <c r="Q28" s="185"/>
      <c r="R28" s="146"/>
      <c r="S28" s="185"/>
      <c r="T28" s="146"/>
      <c r="U28" s="185"/>
      <c r="V28" s="146"/>
      <c r="W28" s="185"/>
      <c r="X28" s="146"/>
      <c r="Y28" s="185"/>
      <c r="Z28" s="146"/>
      <c r="AA28" s="185"/>
      <c r="AB28" s="146"/>
      <c r="AC28" s="185"/>
      <c r="AD28" s="146"/>
      <c r="AE28" s="185"/>
      <c r="AF28" s="146"/>
      <c r="AG28" s="185"/>
      <c r="AH28" s="146"/>
      <c r="AI28" s="185"/>
      <c r="AJ28" s="146"/>
      <c r="AK28" s="185"/>
      <c r="AM28" s="375"/>
      <c r="AN28" s="379"/>
      <c r="AO28" s="444" t="s">
        <v>515</v>
      </c>
      <c r="AP28" s="310"/>
      <c r="AQ28" s="370"/>
      <c r="AR28" s="313"/>
      <c r="AS28" s="325"/>
      <c r="AT28" s="313"/>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75"/>
      <c r="BX28" s="375"/>
      <c r="BY28" s="375"/>
      <c r="BZ28" s="375"/>
      <c r="CA28" s="375"/>
      <c r="CB28" s="375"/>
      <c r="CC28" s="375"/>
      <c r="CD28" s="375"/>
      <c r="CE28" s="375"/>
      <c r="CF28" s="375"/>
      <c r="CG28" s="375"/>
      <c r="CH28" s="375"/>
      <c r="CI28" s="375"/>
      <c r="CJ28" s="375"/>
    </row>
    <row r="29" spans="1:88" s="74" customFormat="1" ht="14.25" customHeight="1">
      <c r="A29" s="403"/>
      <c r="B29" s="404">
        <v>61</v>
      </c>
      <c r="C29" s="25">
        <v>22</v>
      </c>
      <c r="D29" s="108" t="s">
        <v>278</v>
      </c>
      <c r="E29" s="25" t="s">
        <v>40</v>
      </c>
      <c r="F29" s="146"/>
      <c r="G29" s="185"/>
      <c r="H29" s="146"/>
      <c r="I29" s="185"/>
      <c r="J29" s="146"/>
      <c r="K29" s="185"/>
      <c r="L29" s="146"/>
      <c r="M29" s="185"/>
      <c r="N29" s="146"/>
      <c r="O29" s="185"/>
      <c r="P29" s="148"/>
      <c r="Q29" s="185"/>
      <c r="R29" s="148"/>
      <c r="S29" s="185"/>
      <c r="T29" s="148"/>
      <c r="U29" s="185"/>
      <c r="V29" s="148"/>
      <c r="W29" s="185"/>
      <c r="X29" s="148"/>
      <c r="Y29" s="185"/>
      <c r="Z29" s="148"/>
      <c r="AA29" s="185"/>
      <c r="AB29" s="146"/>
      <c r="AC29" s="185"/>
      <c r="AD29" s="148"/>
      <c r="AE29" s="185"/>
      <c r="AF29" s="148"/>
      <c r="AG29" s="185"/>
      <c r="AH29" s="148"/>
      <c r="AI29" s="185"/>
      <c r="AJ29" s="148"/>
      <c r="AK29" s="185"/>
      <c r="AM29" s="375"/>
      <c r="AN29" s="60">
        <v>22</v>
      </c>
      <c r="AO29" s="392" t="s">
        <v>654</v>
      </c>
      <c r="AP29" s="60" t="s">
        <v>169</v>
      </c>
      <c r="AQ29" s="370" t="s">
        <v>644</v>
      </c>
      <c r="AR29" s="313"/>
      <c r="AS29" s="325" t="str">
        <f aca="true" t="shared" si="30" ref="AS29:AS34">IF(OR(ISBLANK(F29),ISBLANK(H29)),"N/A",IF(ABS((H29-F29)/F29)&gt;1,"&gt; 100%","ok"))</f>
        <v>N/A</v>
      </c>
      <c r="AT29" s="313"/>
      <c r="AU29" s="325" t="str">
        <f aca="true" t="shared" si="31" ref="AU29:AU34">IF(OR(ISBLANK(H29),ISBLANK(J29)),"N/A",IF(ABS((J29-H29)/H29)&gt;0.25,"&gt; 25%","ok"))</f>
        <v>N/A</v>
      </c>
      <c r="AV29" s="325"/>
      <c r="AW29" s="325" t="str">
        <f aca="true" t="shared" si="32" ref="AW29:AW34">IF(OR(ISBLANK(J29),ISBLANK(L29)),"N/A",IF(ABS((L29-J29)/J29)&gt;0.25,"&gt; 25%","ok"))</f>
        <v>N/A</v>
      </c>
      <c r="AX29" s="325"/>
      <c r="AY29" s="325" t="str">
        <f aca="true" t="shared" si="33" ref="AY29:AY34">IF(OR(ISBLANK(L29),ISBLANK(N29)),"N/A",IF(ABS((N29-L29)/L29)&gt;0.25,"&gt; 25%","ok"))</f>
        <v>N/A</v>
      </c>
      <c r="AZ29" s="325"/>
      <c r="BA29" s="325" t="str">
        <f aca="true" t="shared" si="34" ref="BA29:BA34">IF(OR(ISBLANK(N29),ISBLANK(P29)),"N/A",IF(ABS((P29-N29)/N29)&gt;0.25,"&gt; 25%","ok"))</f>
        <v>N/A</v>
      </c>
      <c r="BB29" s="325"/>
      <c r="BC29" s="325" t="str">
        <f aca="true" t="shared" si="35" ref="BC29:BC34">IF(OR(ISBLANK(P29),ISBLANK(R29)),"N/A",IF(ABS((R29-P29)/P29)&gt;0.25,"&gt; 25%","ok"))</f>
        <v>N/A</v>
      </c>
      <c r="BD29" s="325"/>
      <c r="BE29" s="325" t="str">
        <f aca="true" t="shared" si="36" ref="BE29:BE34">IF(OR(ISBLANK(R29),ISBLANK(T29)),"N/A",IF(ABS((T29-R29)/R29)&gt;0.25,"&gt; 25%","ok"))</f>
        <v>N/A</v>
      </c>
      <c r="BF29" s="325"/>
      <c r="BG29" s="325" t="str">
        <f aca="true" t="shared" si="37" ref="BG29:BG34">IF(OR(ISBLANK(T29),ISBLANK(V29)),"N/A",IF(ABS((V29-T29)/T29)&gt;0.25,"&gt; 25%","ok"))</f>
        <v>N/A</v>
      </c>
      <c r="BH29" s="325"/>
      <c r="BI29" s="325" t="str">
        <f aca="true" t="shared" si="38" ref="BI29:BI34">IF(OR(ISBLANK(V29),ISBLANK(X29)),"N/A",IF(ABS((X29-V29)/V29)&gt;0.25,"&gt; 25%","ok"))</f>
        <v>N/A</v>
      </c>
      <c r="BJ29" s="325"/>
      <c r="BK29" s="325" t="str">
        <f aca="true" t="shared" si="39" ref="BK29:BK34">IF(OR(ISBLANK(X29),ISBLANK(Z29)),"N/A",IF(ABS((Z29-X29)/X29)&gt;0.25,"&gt; 25%","ok"))</f>
        <v>N/A</v>
      </c>
      <c r="BL29" s="325"/>
      <c r="BM29" s="325" t="str">
        <f aca="true" t="shared" si="40" ref="BM29:BM34">IF(OR(ISBLANK(Z29),ISBLANK(AB29)),"N/A",IF(ABS((AB29-Z29)/Z29)&gt;0.25,"&gt; 25%","ok"))</f>
        <v>N/A</v>
      </c>
      <c r="BN29" s="325"/>
      <c r="BO29" s="325" t="str">
        <f aca="true" t="shared" si="41" ref="BO29:BO34">IF(OR(ISBLANK(AB29),ISBLANK(AD29)),"N/A",IF(ABS((AD29-AB29)/AB29)&gt;0.25,"&gt; 25%","ok"))</f>
        <v>N/A</v>
      </c>
      <c r="BP29" s="325"/>
      <c r="BQ29" s="325" t="str">
        <f aca="true" t="shared" si="42" ref="BQ29:BQ34">IF(OR(ISBLANK(AD29),ISBLANK(AF29)),"N/A",IF(ABS((AF29-AD29)/AD29)&gt;0.25,"&gt; 25%","ok"))</f>
        <v>N/A</v>
      </c>
      <c r="BR29" s="325"/>
      <c r="BS29" s="325" t="str">
        <f aca="true" t="shared" si="43" ref="BS29:BS34">IF(OR(ISBLANK(AF29),ISBLANK(AH29)),"N/A",IF(ABS((AH29-AF29)/AF29)&gt;0.25,"&gt; 25%","ok"))</f>
        <v>N/A</v>
      </c>
      <c r="BT29" s="325"/>
      <c r="BU29" s="325" t="str">
        <f aca="true" t="shared" si="44" ref="BU29:BU34">IF(OR(ISBLANK(AH29),ISBLANK(AJ29)),"N/A",IF(ABS((AJ29-AH29)/AH29)&gt;0.25,"&gt; 25%","ok"))</f>
        <v>N/A</v>
      </c>
      <c r="BV29" s="325"/>
      <c r="BW29" s="375"/>
      <c r="BX29" s="375"/>
      <c r="BY29" s="375"/>
      <c r="BZ29" s="375"/>
      <c r="CA29" s="375"/>
      <c r="CB29" s="375"/>
      <c r="CC29" s="375"/>
      <c r="CD29" s="375"/>
      <c r="CE29" s="375"/>
      <c r="CF29" s="375"/>
      <c r="CG29" s="375"/>
      <c r="CH29" s="375"/>
      <c r="CI29" s="375"/>
      <c r="CJ29" s="375"/>
    </row>
    <row r="30" spans="1:88" s="126" customFormat="1" ht="14.25" customHeight="1">
      <c r="A30" s="399"/>
      <c r="B30" s="404">
        <v>67</v>
      </c>
      <c r="C30" s="70">
        <v>23</v>
      </c>
      <c r="D30" s="108" t="s">
        <v>76</v>
      </c>
      <c r="E30" s="62" t="s">
        <v>40</v>
      </c>
      <c r="F30" s="139"/>
      <c r="G30" s="180"/>
      <c r="H30" s="155"/>
      <c r="I30" s="180"/>
      <c r="J30" s="155"/>
      <c r="K30" s="180"/>
      <c r="L30" s="155"/>
      <c r="M30" s="180"/>
      <c r="N30" s="155"/>
      <c r="O30" s="180"/>
      <c r="P30" s="139"/>
      <c r="Q30" s="180"/>
      <c r="R30" s="139"/>
      <c r="S30" s="180"/>
      <c r="T30" s="139"/>
      <c r="U30" s="180"/>
      <c r="V30" s="139"/>
      <c r="W30" s="180"/>
      <c r="X30" s="139"/>
      <c r="Y30" s="180"/>
      <c r="Z30" s="139"/>
      <c r="AA30" s="180"/>
      <c r="AB30" s="155"/>
      <c r="AC30" s="180"/>
      <c r="AD30" s="139"/>
      <c r="AE30" s="180"/>
      <c r="AF30" s="139"/>
      <c r="AG30" s="180"/>
      <c r="AH30" s="139"/>
      <c r="AI30" s="180"/>
      <c r="AJ30" s="139"/>
      <c r="AK30" s="180"/>
      <c r="AM30" s="309"/>
      <c r="AN30" s="310">
        <v>23</v>
      </c>
      <c r="AO30" s="392" t="s">
        <v>175</v>
      </c>
      <c r="AP30" s="60" t="s">
        <v>169</v>
      </c>
      <c r="AQ30" s="370" t="s">
        <v>644</v>
      </c>
      <c r="AR30" s="192"/>
      <c r="AS30" s="325" t="str">
        <f t="shared" si="30"/>
        <v>N/A</v>
      </c>
      <c r="AT30" s="313"/>
      <c r="AU30" s="325" t="str">
        <f t="shared" si="31"/>
        <v>N/A</v>
      </c>
      <c r="AV30" s="325"/>
      <c r="AW30" s="325" t="str">
        <f t="shared" si="32"/>
        <v>N/A</v>
      </c>
      <c r="AX30" s="325"/>
      <c r="AY30" s="325" t="str">
        <f t="shared" si="33"/>
        <v>N/A</v>
      </c>
      <c r="AZ30" s="325"/>
      <c r="BA30" s="325" t="str">
        <f t="shared" si="34"/>
        <v>N/A</v>
      </c>
      <c r="BB30" s="325"/>
      <c r="BC30" s="325" t="str">
        <f t="shared" si="35"/>
        <v>N/A</v>
      </c>
      <c r="BD30" s="325"/>
      <c r="BE30" s="325" t="str">
        <f t="shared" si="36"/>
        <v>N/A</v>
      </c>
      <c r="BF30" s="325"/>
      <c r="BG30" s="325" t="str">
        <f t="shared" si="37"/>
        <v>N/A</v>
      </c>
      <c r="BH30" s="325"/>
      <c r="BI30" s="325" t="str">
        <f t="shared" si="38"/>
        <v>N/A</v>
      </c>
      <c r="BJ30" s="325"/>
      <c r="BK30" s="325" t="str">
        <f t="shared" si="39"/>
        <v>N/A</v>
      </c>
      <c r="BL30" s="325"/>
      <c r="BM30" s="325" t="str">
        <f t="shared" si="40"/>
        <v>N/A</v>
      </c>
      <c r="BN30" s="325"/>
      <c r="BO30" s="325" t="str">
        <f t="shared" si="41"/>
        <v>N/A</v>
      </c>
      <c r="BP30" s="325"/>
      <c r="BQ30" s="325" t="str">
        <f t="shared" si="42"/>
        <v>N/A</v>
      </c>
      <c r="BR30" s="325"/>
      <c r="BS30" s="325" t="str">
        <f t="shared" si="43"/>
        <v>N/A</v>
      </c>
      <c r="BT30" s="325"/>
      <c r="BU30" s="325" t="str">
        <f t="shared" si="44"/>
        <v>N/A</v>
      </c>
      <c r="BV30" s="325"/>
      <c r="BW30" s="309"/>
      <c r="BX30" s="309"/>
      <c r="BY30" s="309"/>
      <c r="BZ30" s="309"/>
      <c r="CA30" s="309"/>
      <c r="CB30" s="309"/>
      <c r="CC30" s="309"/>
      <c r="CD30" s="309"/>
      <c r="CE30" s="309"/>
      <c r="CF30" s="309"/>
      <c r="CG30" s="309"/>
      <c r="CH30" s="309"/>
      <c r="CI30" s="309"/>
      <c r="CJ30" s="309"/>
    </row>
    <row r="31" spans="1:88" s="217" customFormat="1" ht="21" customHeight="1">
      <c r="A31" s="401"/>
      <c r="B31" s="404">
        <v>62</v>
      </c>
      <c r="C31" s="25">
        <v>24</v>
      </c>
      <c r="D31" s="348" t="s">
        <v>71</v>
      </c>
      <c r="E31" s="62" t="s">
        <v>40</v>
      </c>
      <c r="F31" s="139"/>
      <c r="G31" s="180"/>
      <c r="H31" s="155"/>
      <c r="I31" s="180"/>
      <c r="J31" s="155"/>
      <c r="K31" s="180"/>
      <c r="L31" s="155"/>
      <c r="M31" s="180"/>
      <c r="N31" s="155"/>
      <c r="O31" s="180"/>
      <c r="P31" s="139"/>
      <c r="Q31" s="180"/>
      <c r="R31" s="139"/>
      <c r="S31" s="180"/>
      <c r="T31" s="139"/>
      <c r="U31" s="180"/>
      <c r="V31" s="139"/>
      <c r="W31" s="180"/>
      <c r="X31" s="139"/>
      <c r="Y31" s="180"/>
      <c r="Z31" s="139"/>
      <c r="AA31" s="180"/>
      <c r="AB31" s="155"/>
      <c r="AC31" s="180"/>
      <c r="AD31" s="139"/>
      <c r="AE31" s="180"/>
      <c r="AF31" s="139"/>
      <c r="AG31" s="180"/>
      <c r="AH31" s="139"/>
      <c r="AI31" s="180"/>
      <c r="AJ31" s="139"/>
      <c r="AK31" s="180"/>
      <c r="AM31" s="359"/>
      <c r="AN31" s="60">
        <v>24</v>
      </c>
      <c r="AO31" s="392" t="s">
        <v>504</v>
      </c>
      <c r="AP31" s="60" t="s">
        <v>169</v>
      </c>
      <c r="AQ31" s="370" t="s">
        <v>644</v>
      </c>
      <c r="AR31" s="192"/>
      <c r="AS31" s="325" t="str">
        <f t="shared" si="30"/>
        <v>N/A</v>
      </c>
      <c r="AT31" s="313"/>
      <c r="AU31" s="325" t="str">
        <f t="shared" si="31"/>
        <v>N/A</v>
      </c>
      <c r="AV31" s="325"/>
      <c r="AW31" s="325" t="str">
        <f t="shared" si="32"/>
        <v>N/A</v>
      </c>
      <c r="AX31" s="325"/>
      <c r="AY31" s="325" t="str">
        <f t="shared" si="33"/>
        <v>N/A</v>
      </c>
      <c r="AZ31" s="325"/>
      <c r="BA31" s="325" t="str">
        <f t="shared" si="34"/>
        <v>N/A</v>
      </c>
      <c r="BB31" s="325"/>
      <c r="BC31" s="325" t="str">
        <f t="shared" si="35"/>
        <v>N/A</v>
      </c>
      <c r="BD31" s="325"/>
      <c r="BE31" s="325" t="str">
        <f t="shared" si="36"/>
        <v>N/A</v>
      </c>
      <c r="BF31" s="325"/>
      <c r="BG31" s="325" t="str">
        <f t="shared" si="37"/>
        <v>N/A</v>
      </c>
      <c r="BH31" s="325"/>
      <c r="BI31" s="325" t="str">
        <f t="shared" si="38"/>
        <v>N/A</v>
      </c>
      <c r="BJ31" s="325"/>
      <c r="BK31" s="325" t="str">
        <f t="shared" si="39"/>
        <v>N/A</v>
      </c>
      <c r="BL31" s="325"/>
      <c r="BM31" s="325" t="str">
        <f t="shared" si="40"/>
        <v>N/A</v>
      </c>
      <c r="BN31" s="325"/>
      <c r="BO31" s="325" t="str">
        <f t="shared" si="41"/>
        <v>N/A</v>
      </c>
      <c r="BP31" s="325"/>
      <c r="BQ31" s="325" t="str">
        <f t="shared" si="42"/>
        <v>N/A</v>
      </c>
      <c r="BR31" s="325"/>
      <c r="BS31" s="325" t="str">
        <f t="shared" si="43"/>
        <v>N/A</v>
      </c>
      <c r="BT31" s="325"/>
      <c r="BU31" s="325" t="str">
        <f t="shared" si="44"/>
        <v>N/A</v>
      </c>
      <c r="BV31" s="325"/>
      <c r="BW31" s="359"/>
      <c r="BX31" s="359"/>
      <c r="BY31" s="359"/>
      <c r="BZ31" s="359"/>
      <c r="CA31" s="359"/>
      <c r="CB31" s="359"/>
      <c r="CC31" s="359"/>
      <c r="CD31" s="359"/>
      <c r="CE31" s="359"/>
      <c r="CF31" s="359"/>
      <c r="CG31" s="359"/>
      <c r="CH31" s="359"/>
      <c r="CI31" s="359"/>
      <c r="CJ31" s="359"/>
    </row>
    <row r="32" spans="1:88" s="217" customFormat="1" ht="14.25" customHeight="1">
      <c r="A32" s="399"/>
      <c r="B32" s="404">
        <v>64</v>
      </c>
      <c r="C32" s="70">
        <v>25</v>
      </c>
      <c r="D32" s="348" t="s">
        <v>72</v>
      </c>
      <c r="E32" s="62" t="s">
        <v>40</v>
      </c>
      <c r="F32" s="139"/>
      <c r="G32" s="180"/>
      <c r="H32" s="155"/>
      <c r="I32" s="180"/>
      <c r="J32" s="155"/>
      <c r="K32" s="180"/>
      <c r="L32" s="155"/>
      <c r="M32" s="180"/>
      <c r="N32" s="155"/>
      <c r="O32" s="180"/>
      <c r="P32" s="139"/>
      <c r="Q32" s="180"/>
      <c r="R32" s="139"/>
      <c r="S32" s="180"/>
      <c r="T32" s="139"/>
      <c r="U32" s="180"/>
      <c r="V32" s="139"/>
      <c r="W32" s="180"/>
      <c r="X32" s="139"/>
      <c r="Y32" s="180"/>
      <c r="Z32" s="139"/>
      <c r="AA32" s="180"/>
      <c r="AB32" s="155"/>
      <c r="AC32" s="180"/>
      <c r="AD32" s="139"/>
      <c r="AE32" s="180"/>
      <c r="AF32" s="139"/>
      <c r="AG32" s="180"/>
      <c r="AH32" s="139"/>
      <c r="AI32" s="180"/>
      <c r="AJ32" s="139"/>
      <c r="AK32" s="180"/>
      <c r="AM32" s="359"/>
      <c r="AN32" s="310">
        <v>25</v>
      </c>
      <c r="AO32" s="392" t="s">
        <v>505</v>
      </c>
      <c r="AP32" s="60" t="s">
        <v>169</v>
      </c>
      <c r="AQ32" s="370" t="s">
        <v>644</v>
      </c>
      <c r="AR32" s="192"/>
      <c r="AS32" s="325" t="str">
        <f t="shared" si="30"/>
        <v>N/A</v>
      </c>
      <c r="AT32" s="313"/>
      <c r="AU32" s="325" t="str">
        <f t="shared" si="31"/>
        <v>N/A</v>
      </c>
      <c r="AV32" s="325"/>
      <c r="AW32" s="325" t="str">
        <f t="shared" si="32"/>
        <v>N/A</v>
      </c>
      <c r="AX32" s="325"/>
      <c r="AY32" s="325" t="str">
        <f t="shared" si="33"/>
        <v>N/A</v>
      </c>
      <c r="AZ32" s="325"/>
      <c r="BA32" s="325" t="str">
        <f t="shared" si="34"/>
        <v>N/A</v>
      </c>
      <c r="BB32" s="325"/>
      <c r="BC32" s="325" t="str">
        <f t="shared" si="35"/>
        <v>N/A</v>
      </c>
      <c r="BD32" s="325"/>
      <c r="BE32" s="325" t="str">
        <f t="shared" si="36"/>
        <v>N/A</v>
      </c>
      <c r="BF32" s="325"/>
      <c r="BG32" s="325" t="str">
        <f t="shared" si="37"/>
        <v>N/A</v>
      </c>
      <c r="BH32" s="325"/>
      <c r="BI32" s="325" t="str">
        <f t="shared" si="38"/>
        <v>N/A</v>
      </c>
      <c r="BJ32" s="325"/>
      <c r="BK32" s="325" t="str">
        <f t="shared" si="39"/>
        <v>N/A</v>
      </c>
      <c r="BL32" s="325"/>
      <c r="BM32" s="325" t="str">
        <f t="shared" si="40"/>
        <v>N/A</v>
      </c>
      <c r="BN32" s="325"/>
      <c r="BO32" s="325" t="str">
        <f t="shared" si="41"/>
        <v>N/A</v>
      </c>
      <c r="BP32" s="325"/>
      <c r="BQ32" s="325" t="str">
        <f t="shared" si="42"/>
        <v>N/A</v>
      </c>
      <c r="BR32" s="325"/>
      <c r="BS32" s="325" t="str">
        <f t="shared" si="43"/>
        <v>N/A</v>
      </c>
      <c r="BT32" s="325"/>
      <c r="BU32" s="325" t="str">
        <f t="shared" si="44"/>
        <v>N/A</v>
      </c>
      <c r="BV32" s="325"/>
      <c r="BW32" s="359"/>
      <c r="BX32" s="359"/>
      <c r="BY32" s="359"/>
      <c r="BZ32" s="359"/>
      <c r="CA32" s="359"/>
      <c r="CB32" s="359"/>
      <c r="CC32" s="359"/>
      <c r="CD32" s="359"/>
      <c r="CE32" s="359"/>
      <c r="CF32" s="359"/>
      <c r="CG32" s="359"/>
      <c r="CH32" s="359"/>
      <c r="CI32" s="359"/>
      <c r="CJ32" s="359"/>
    </row>
    <row r="33" spans="1:88" s="217" customFormat="1" ht="14.25" customHeight="1">
      <c r="A33" s="399"/>
      <c r="B33" s="404">
        <v>65</v>
      </c>
      <c r="C33" s="25">
        <v>26</v>
      </c>
      <c r="D33" s="108" t="s">
        <v>77</v>
      </c>
      <c r="E33" s="62" t="s">
        <v>40</v>
      </c>
      <c r="F33" s="139"/>
      <c r="G33" s="180"/>
      <c r="H33" s="155"/>
      <c r="I33" s="180"/>
      <c r="J33" s="155"/>
      <c r="K33" s="180"/>
      <c r="L33" s="155"/>
      <c r="M33" s="180"/>
      <c r="N33" s="155"/>
      <c r="O33" s="180"/>
      <c r="P33" s="139"/>
      <c r="Q33" s="180"/>
      <c r="R33" s="139"/>
      <c r="S33" s="180"/>
      <c r="T33" s="139"/>
      <c r="U33" s="180"/>
      <c r="V33" s="139"/>
      <c r="W33" s="180"/>
      <c r="X33" s="139"/>
      <c r="Y33" s="180"/>
      <c r="Z33" s="139"/>
      <c r="AA33" s="180"/>
      <c r="AB33" s="155"/>
      <c r="AC33" s="180"/>
      <c r="AD33" s="139"/>
      <c r="AE33" s="180"/>
      <c r="AF33" s="139"/>
      <c r="AG33" s="180"/>
      <c r="AH33" s="139"/>
      <c r="AI33" s="180"/>
      <c r="AJ33" s="139"/>
      <c r="AK33" s="180"/>
      <c r="AM33" s="359"/>
      <c r="AN33" s="60">
        <v>26</v>
      </c>
      <c r="AO33" s="391" t="s">
        <v>676</v>
      </c>
      <c r="AP33" s="60" t="s">
        <v>169</v>
      </c>
      <c r="AQ33" s="370" t="s">
        <v>644</v>
      </c>
      <c r="AR33" s="192"/>
      <c r="AS33" s="325" t="str">
        <f t="shared" si="30"/>
        <v>N/A</v>
      </c>
      <c r="AT33" s="313"/>
      <c r="AU33" s="325" t="str">
        <f t="shared" si="31"/>
        <v>N/A</v>
      </c>
      <c r="AV33" s="325"/>
      <c r="AW33" s="325" t="str">
        <f t="shared" si="32"/>
        <v>N/A</v>
      </c>
      <c r="AX33" s="325"/>
      <c r="AY33" s="325" t="str">
        <f t="shared" si="33"/>
        <v>N/A</v>
      </c>
      <c r="AZ33" s="325"/>
      <c r="BA33" s="325" t="str">
        <f t="shared" si="34"/>
        <v>N/A</v>
      </c>
      <c r="BB33" s="325"/>
      <c r="BC33" s="325" t="str">
        <f t="shared" si="35"/>
        <v>N/A</v>
      </c>
      <c r="BD33" s="325"/>
      <c r="BE33" s="325" t="str">
        <f t="shared" si="36"/>
        <v>N/A</v>
      </c>
      <c r="BF33" s="325"/>
      <c r="BG33" s="325" t="str">
        <f t="shared" si="37"/>
        <v>N/A</v>
      </c>
      <c r="BH33" s="325"/>
      <c r="BI33" s="325" t="str">
        <f t="shared" si="38"/>
        <v>N/A</v>
      </c>
      <c r="BJ33" s="325"/>
      <c r="BK33" s="325" t="str">
        <f t="shared" si="39"/>
        <v>N/A</v>
      </c>
      <c r="BL33" s="325"/>
      <c r="BM33" s="325" t="str">
        <f t="shared" si="40"/>
        <v>N/A</v>
      </c>
      <c r="BN33" s="325"/>
      <c r="BO33" s="325" t="str">
        <f t="shared" si="41"/>
        <v>N/A</v>
      </c>
      <c r="BP33" s="325"/>
      <c r="BQ33" s="325" t="str">
        <f t="shared" si="42"/>
        <v>N/A</v>
      </c>
      <c r="BR33" s="325"/>
      <c r="BS33" s="325" t="str">
        <f t="shared" si="43"/>
        <v>N/A</v>
      </c>
      <c r="BT33" s="325"/>
      <c r="BU33" s="325" t="str">
        <f t="shared" si="44"/>
        <v>N/A</v>
      </c>
      <c r="BV33" s="325"/>
      <c r="BW33" s="359"/>
      <c r="BX33" s="359"/>
      <c r="BY33" s="359"/>
      <c r="BZ33" s="359"/>
      <c r="CA33" s="359"/>
      <c r="CB33" s="359"/>
      <c r="CC33" s="359"/>
      <c r="CD33" s="359"/>
      <c r="CE33" s="359"/>
      <c r="CF33" s="359"/>
      <c r="CG33" s="359"/>
      <c r="CH33" s="359"/>
      <c r="CI33" s="359"/>
      <c r="CJ33" s="359"/>
    </row>
    <row r="34" spans="1:88" s="217" customFormat="1" ht="14.25" customHeight="1">
      <c r="A34" s="399"/>
      <c r="B34" s="405">
        <v>66</v>
      </c>
      <c r="C34" s="67">
        <v>27</v>
      </c>
      <c r="D34" s="109" t="s">
        <v>74</v>
      </c>
      <c r="E34" s="591" t="s">
        <v>40</v>
      </c>
      <c r="F34" s="141"/>
      <c r="G34" s="186"/>
      <c r="H34" s="156"/>
      <c r="I34" s="186"/>
      <c r="J34" s="156"/>
      <c r="K34" s="186"/>
      <c r="L34" s="156"/>
      <c r="M34" s="186"/>
      <c r="N34" s="156"/>
      <c r="O34" s="186"/>
      <c r="P34" s="141"/>
      <c r="Q34" s="186"/>
      <c r="R34" s="141"/>
      <c r="S34" s="186"/>
      <c r="T34" s="141"/>
      <c r="U34" s="186"/>
      <c r="V34" s="141"/>
      <c r="W34" s="186"/>
      <c r="X34" s="141"/>
      <c r="Y34" s="186"/>
      <c r="Z34" s="141"/>
      <c r="AA34" s="186"/>
      <c r="AB34" s="156"/>
      <c r="AC34" s="186"/>
      <c r="AD34" s="141"/>
      <c r="AE34" s="186"/>
      <c r="AF34" s="141"/>
      <c r="AG34" s="186"/>
      <c r="AH34" s="141"/>
      <c r="AI34" s="186"/>
      <c r="AJ34" s="141"/>
      <c r="AK34" s="186"/>
      <c r="AM34" s="359"/>
      <c r="AN34" s="316">
        <v>27</v>
      </c>
      <c r="AO34" s="396" t="s">
        <v>176</v>
      </c>
      <c r="AP34" s="316" t="s">
        <v>169</v>
      </c>
      <c r="AQ34" s="484" t="s">
        <v>644</v>
      </c>
      <c r="AR34" s="319"/>
      <c r="AS34" s="326" t="str">
        <f t="shared" si="30"/>
        <v>N/A</v>
      </c>
      <c r="AT34" s="319"/>
      <c r="AU34" s="326" t="str">
        <f t="shared" si="31"/>
        <v>N/A</v>
      </c>
      <c r="AV34" s="326"/>
      <c r="AW34" s="326" t="str">
        <f t="shared" si="32"/>
        <v>N/A</v>
      </c>
      <c r="AX34" s="326"/>
      <c r="AY34" s="326" t="str">
        <f t="shared" si="33"/>
        <v>N/A</v>
      </c>
      <c r="AZ34" s="326"/>
      <c r="BA34" s="326" t="str">
        <f t="shared" si="34"/>
        <v>N/A</v>
      </c>
      <c r="BB34" s="326"/>
      <c r="BC34" s="326" t="str">
        <f t="shared" si="35"/>
        <v>N/A</v>
      </c>
      <c r="BD34" s="326"/>
      <c r="BE34" s="326" t="str">
        <f t="shared" si="36"/>
        <v>N/A</v>
      </c>
      <c r="BF34" s="326"/>
      <c r="BG34" s="326" t="str">
        <f t="shared" si="37"/>
        <v>N/A</v>
      </c>
      <c r="BH34" s="326"/>
      <c r="BI34" s="326" t="str">
        <f t="shared" si="38"/>
        <v>N/A</v>
      </c>
      <c r="BJ34" s="326"/>
      <c r="BK34" s="326" t="str">
        <f t="shared" si="39"/>
        <v>N/A</v>
      </c>
      <c r="BL34" s="326"/>
      <c r="BM34" s="326" t="str">
        <f t="shared" si="40"/>
        <v>N/A</v>
      </c>
      <c r="BN34" s="326"/>
      <c r="BO34" s="326" t="str">
        <f t="shared" si="41"/>
        <v>N/A</v>
      </c>
      <c r="BP34" s="326"/>
      <c r="BQ34" s="326" t="str">
        <f t="shared" si="42"/>
        <v>N/A</v>
      </c>
      <c r="BR34" s="326"/>
      <c r="BS34" s="326" t="str">
        <f t="shared" si="43"/>
        <v>N/A</v>
      </c>
      <c r="BT34" s="326"/>
      <c r="BU34" s="326" t="str">
        <f t="shared" si="44"/>
        <v>N/A</v>
      </c>
      <c r="BV34" s="326"/>
      <c r="BW34" s="359"/>
      <c r="BX34" s="359"/>
      <c r="BY34" s="359"/>
      <c r="BZ34" s="359"/>
      <c r="CA34" s="359"/>
      <c r="CB34" s="359"/>
      <c r="CC34" s="359"/>
      <c r="CD34" s="359"/>
      <c r="CE34" s="359"/>
      <c r="CF34" s="359"/>
      <c r="CG34" s="359"/>
      <c r="CH34" s="359"/>
      <c r="CI34" s="359"/>
      <c r="CJ34" s="359"/>
    </row>
    <row r="35" ht="3.75" customHeight="1"/>
    <row r="36" spans="3:74" ht="24" customHeight="1">
      <c r="C36" s="3" t="s">
        <v>45</v>
      </c>
      <c r="D36" s="4"/>
      <c r="E36" s="20"/>
      <c r="F36" s="3"/>
      <c r="AK36" s="80"/>
      <c r="AL36" s="80"/>
      <c r="AN36" s="690" t="s">
        <v>81</v>
      </c>
      <c r="AO36" s="690"/>
      <c r="AP36" s="690"/>
      <c r="AQ36" s="690"/>
      <c r="AR36" s="690"/>
      <c r="AS36" s="690"/>
      <c r="AT36" s="690"/>
      <c r="AU36" s="690"/>
      <c r="AV36" s="690"/>
      <c r="AW36" s="690"/>
      <c r="AX36" s="690"/>
      <c r="AY36" s="690"/>
      <c r="AZ36" s="690"/>
      <c r="BA36" s="690"/>
      <c r="BB36" s="690"/>
      <c r="BC36" s="690"/>
      <c r="BD36" s="690"/>
      <c r="BE36" s="690"/>
      <c r="BF36" s="690"/>
      <c r="BG36" s="690"/>
      <c r="BH36" s="690"/>
      <c r="BI36" s="690"/>
      <c r="BJ36" s="690"/>
      <c r="BK36" s="690"/>
      <c r="BL36" s="690"/>
      <c r="BM36" s="690"/>
      <c r="BN36" s="690"/>
      <c r="BO36" s="690"/>
      <c r="BP36" s="690"/>
      <c r="BQ36" s="690"/>
      <c r="BR36" s="690"/>
      <c r="BS36" s="690"/>
      <c r="BT36" s="690"/>
      <c r="BU36" s="690"/>
      <c r="BV36" s="690"/>
    </row>
    <row r="37" spans="3:74" ht="15.75" customHeight="1">
      <c r="C37" s="266" t="s">
        <v>667</v>
      </c>
      <c r="D37" s="685" t="s">
        <v>78</v>
      </c>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N37" s="63" t="s">
        <v>157</v>
      </c>
      <c r="AO37" s="63" t="s">
        <v>164</v>
      </c>
      <c r="AP37" s="63" t="s">
        <v>166</v>
      </c>
      <c r="AQ37" s="135">
        <v>1990</v>
      </c>
      <c r="AR37" s="199"/>
      <c r="AS37" s="136">
        <v>1995</v>
      </c>
      <c r="AT37" s="199"/>
      <c r="AU37" s="136">
        <v>1996</v>
      </c>
      <c r="AV37" s="199"/>
      <c r="AW37" s="136">
        <v>1997</v>
      </c>
      <c r="AX37" s="199"/>
      <c r="AY37" s="136">
        <v>1998</v>
      </c>
      <c r="AZ37" s="199"/>
      <c r="BA37" s="136">
        <v>1999</v>
      </c>
      <c r="BB37" s="199"/>
      <c r="BC37" s="136">
        <v>2000</v>
      </c>
      <c r="BD37" s="199"/>
      <c r="BE37" s="136">
        <v>2001</v>
      </c>
      <c r="BF37" s="199"/>
      <c r="BG37" s="136">
        <v>2002</v>
      </c>
      <c r="BH37" s="199"/>
      <c r="BI37" s="136">
        <v>2003</v>
      </c>
      <c r="BJ37" s="199"/>
      <c r="BK37" s="136">
        <v>2004</v>
      </c>
      <c r="BL37" s="199"/>
      <c r="BM37" s="136">
        <v>2005</v>
      </c>
      <c r="BN37" s="199"/>
      <c r="BO37" s="136">
        <v>2006</v>
      </c>
      <c r="BP37" s="199"/>
      <c r="BQ37" s="136">
        <v>2007</v>
      </c>
      <c r="BR37" s="199"/>
      <c r="BS37" s="136">
        <v>2008</v>
      </c>
      <c r="BT37" s="199"/>
      <c r="BU37" s="136">
        <v>2009</v>
      </c>
      <c r="BV37" s="199"/>
    </row>
    <row r="38" spans="3:74" ht="15" customHeight="1">
      <c r="C38" s="266" t="s">
        <v>667</v>
      </c>
      <c r="D38" s="669" t="s">
        <v>79</v>
      </c>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N38" s="59"/>
      <c r="AO38" s="76" t="s">
        <v>545</v>
      </c>
      <c r="AP38" s="59"/>
      <c r="AQ38" s="147"/>
      <c r="AR38" s="192"/>
      <c r="AS38" s="147"/>
      <c r="AT38" s="192"/>
      <c r="AU38" s="147"/>
      <c r="AV38" s="192"/>
      <c r="AW38" s="147"/>
      <c r="AX38" s="192"/>
      <c r="AY38" s="147"/>
      <c r="AZ38" s="192"/>
      <c r="BA38" s="142"/>
      <c r="BB38" s="192"/>
      <c r="BC38" s="142"/>
      <c r="BD38" s="192"/>
      <c r="BE38" s="142"/>
      <c r="BF38" s="192"/>
      <c r="BG38" s="142"/>
      <c r="BH38" s="192"/>
      <c r="BI38" s="142"/>
      <c r="BJ38" s="192"/>
      <c r="BK38" s="142"/>
      <c r="BL38" s="192"/>
      <c r="BM38" s="147"/>
      <c r="BN38" s="192"/>
      <c r="BO38" s="142"/>
      <c r="BP38" s="192"/>
      <c r="BQ38" s="142"/>
      <c r="BR38" s="192"/>
      <c r="BS38" s="142"/>
      <c r="BT38" s="192"/>
      <c r="BU38" s="142"/>
      <c r="BV38" s="192"/>
    </row>
    <row r="39" spans="1:88" ht="24.75" customHeight="1">
      <c r="A39" s="400"/>
      <c r="B39" s="400"/>
      <c r="C39" s="266" t="s">
        <v>667</v>
      </c>
      <c r="D39" s="669" t="s">
        <v>47</v>
      </c>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385"/>
      <c r="AN39" s="379">
        <v>1</v>
      </c>
      <c r="AO39" s="389" t="s">
        <v>151</v>
      </c>
      <c r="AP39" s="310" t="s">
        <v>169</v>
      </c>
      <c r="AQ39" s="325">
        <f>F9</f>
        <v>0</v>
      </c>
      <c r="AR39" s="325"/>
      <c r="AS39" s="325">
        <f aca="true" t="shared" si="45" ref="AS39:BU39">H9</f>
        <v>0</v>
      </c>
      <c r="AT39" s="325"/>
      <c r="AU39" s="325">
        <f t="shared" si="45"/>
        <v>0</v>
      </c>
      <c r="AV39" s="325"/>
      <c r="AW39" s="325">
        <f t="shared" si="45"/>
        <v>0</v>
      </c>
      <c r="AX39" s="325"/>
      <c r="AY39" s="325">
        <f t="shared" si="45"/>
        <v>0</v>
      </c>
      <c r="AZ39" s="325"/>
      <c r="BA39" s="325">
        <f t="shared" si="45"/>
        <v>0</v>
      </c>
      <c r="BB39" s="325"/>
      <c r="BC39" s="325">
        <f t="shared" si="45"/>
        <v>0</v>
      </c>
      <c r="BD39" s="325"/>
      <c r="BE39" s="325">
        <f t="shared" si="45"/>
        <v>0</v>
      </c>
      <c r="BF39" s="325"/>
      <c r="BG39" s="325">
        <f t="shared" si="45"/>
        <v>0</v>
      </c>
      <c r="BH39" s="325"/>
      <c r="BI39" s="325">
        <f t="shared" si="45"/>
        <v>0</v>
      </c>
      <c r="BJ39" s="325"/>
      <c r="BK39" s="325">
        <f t="shared" si="45"/>
        <v>0</v>
      </c>
      <c r="BL39" s="325"/>
      <c r="BM39" s="325">
        <f t="shared" si="45"/>
        <v>0</v>
      </c>
      <c r="BN39" s="325"/>
      <c r="BO39" s="325">
        <f t="shared" si="45"/>
        <v>0</v>
      </c>
      <c r="BP39" s="325"/>
      <c r="BQ39" s="325">
        <f t="shared" si="45"/>
        <v>0</v>
      </c>
      <c r="BR39" s="325"/>
      <c r="BS39" s="325">
        <f t="shared" si="45"/>
        <v>0</v>
      </c>
      <c r="BT39" s="325"/>
      <c r="BU39" s="325">
        <f t="shared" si="45"/>
        <v>0</v>
      </c>
      <c r="BV39" s="313"/>
      <c r="BW39" s="251"/>
      <c r="BX39" s="251"/>
      <c r="BY39" s="251"/>
      <c r="BZ39" s="251"/>
      <c r="CA39" s="251"/>
      <c r="CB39" s="251"/>
      <c r="CC39" s="251"/>
      <c r="CD39" s="251"/>
      <c r="CE39" s="251"/>
      <c r="CF39" s="251"/>
      <c r="CG39" s="251"/>
      <c r="CH39" s="251"/>
      <c r="CI39" s="251"/>
      <c r="CJ39" s="251"/>
    </row>
    <row r="40" spans="1:88" ht="25.5" customHeight="1">
      <c r="A40" s="400"/>
      <c r="B40" s="400"/>
      <c r="C40" s="266" t="s">
        <v>667</v>
      </c>
      <c r="D40" s="669" t="s">
        <v>48</v>
      </c>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385"/>
      <c r="AN40" s="476">
        <v>28</v>
      </c>
      <c r="AO40" s="481" t="s">
        <v>574</v>
      </c>
      <c r="AP40" s="310" t="s">
        <v>169</v>
      </c>
      <c r="AQ40" s="331">
        <f>F18+F27</f>
        <v>0</v>
      </c>
      <c r="AR40" s="331"/>
      <c r="AS40" s="331">
        <f aca="true" t="shared" si="46" ref="AS40:BU40">H18+H27</f>
        <v>0</v>
      </c>
      <c r="AT40" s="331"/>
      <c r="AU40" s="331">
        <f t="shared" si="46"/>
        <v>0</v>
      </c>
      <c r="AV40" s="331"/>
      <c r="AW40" s="331">
        <f t="shared" si="46"/>
        <v>0</v>
      </c>
      <c r="AX40" s="331"/>
      <c r="AY40" s="331">
        <f t="shared" si="46"/>
        <v>0</v>
      </c>
      <c r="AZ40" s="331"/>
      <c r="BA40" s="331">
        <f t="shared" si="46"/>
        <v>0</v>
      </c>
      <c r="BB40" s="331"/>
      <c r="BC40" s="331">
        <f t="shared" si="46"/>
        <v>0</v>
      </c>
      <c r="BD40" s="331"/>
      <c r="BE40" s="331">
        <f t="shared" si="46"/>
        <v>0</v>
      </c>
      <c r="BF40" s="331"/>
      <c r="BG40" s="331">
        <f t="shared" si="46"/>
        <v>0</v>
      </c>
      <c r="BH40" s="331"/>
      <c r="BI40" s="331">
        <f t="shared" si="46"/>
        <v>0</v>
      </c>
      <c r="BJ40" s="331"/>
      <c r="BK40" s="331">
        <f t="shared" si="46"/>
        <v>0</v>
      </c>
      <c r="BL40" s="331"/>
      <c r="BM40" s="331">
        <f t="shared" si="46"/>
        <v>0</v>
      </c>
      <c r="BN40" s="331"/>
      <c r="BO40" s="331">
        <f t="shared" si="46"/>
        <v>0</v>
      </c>
      <c r="BP40" s="331"/>
      <c r="BQ40" s="331">
        <f t="shared" si="46"/>
        <v>0</v>
      </c>
      <c r="BR40" s="331"/>
      <c r="BS40" s="331">
        <f t="shared" si="46"/>
        <v>0</v>
      </c>
      <c r="BT40" s="331"/>
      <c r="BU40" s="331">
        <f t="shared" si="46"/>
        <v>0</v>
      </c>
      <c r="BV40" s="192"/>
      <c r="BW40" s="251"/>
      <c r="BX40" s="251"/>
      <c r="BY40" s="251"/>
      <c r="BZ40" s="251"/>
      <c r="CA40" s="251"/>
      <c r="CB40" s="251"/>
      <c r="CC40" s="251"/>
      <c r="CD40" s="251"/>
      <c r="CE40" s="251"/>
      <c r="CF40" s="251"/>
      <c r="CG40" s="251"/>
      <c r="CH40" s="251"/>
      <c r="CI40" s="251"/>
      <c r="CJ40" s="251"/>
    </row>
    <row r="41" spans="1:88" ht="15" customHeight="1">
      <c r="A41" s="400"/>
      <c r="B41" s="400"/>
      <c r="C41" s="266" t="s">
        <v>667</v>
      </c>
      <c r="D41" s="669" t="s">
        <v>49</v>
      </c>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385"/>
      <c r="AN41" s="468" t="s">
        <v>677</v>
      </c>
      <c r="AO41" s="481" t="s">
        <v>575</v>
      </c>
      <c r="AP41" s="310"/>
      <c r="AQ41" s="325" t="str">
        <f>IF(ISBLANK(F9),"N/A",IF(ROUND(AQ39,0)&lt;ROUND(AQ40,0),"1&lt;28",IF(OR(ISBLANK(F9),ISBLANK(F18),ISBLANK(F27)),"N/A",IF((ROUND(AQ39,0)=ROUND(AQ40,0)),"ok","&lt;&gt;"))))</f>
        <v>N/A</v>
      </c>
      <c r="AR41" s="325"/>
      <c r="AS41" s="325" t="str">
        <f aca="true" t="shared" si="47" ref="AS41:BU41">IF(ISBLANK(H9),"N/A",IF(ROUND(AS39,0)&lt;ROUND(AS40,0),"1&lt;28",IF(OR(ISBLANK(H9),ISBLANK(H18),ISBLANK(H27)),"N/A",IF((ROUND(AS39,0)=ROUND(AS40,0)),"ok","&lt;&gt;"))))</f>
        <v>N/A</v>
      </c>
      <c r="AT41" s="325"/>
      <c r="AU41" s="325" t="str">
        <f t="shared" si="47"/>
        <v>N/A</v>
      </c>
      <c r="AV41" s="325"/>
      <c r="AW41" s="325" t="str">
        <f t="shared" si="47"/>
        <v>N/A</v>
      </c>
      <c r="AX41" s="325"/>
      <c r="AY41" s="325" t="str">
        <f t="shared" si="47"/>
        <v>N/A</v>
      </c>
      <c r="AZ41" s="325"/>
      <c r="BA41" s="325" t="str">
        <f t="shared" si="47"/>
        <v>N/A</v>
      </c>
      <c r="BB41" s="325"/>
      <c r="BC41" s="325" t="str">
        <f t="shared" si="47"/>
        <v>N/A</v>
      </c>
      <c r="BD41" s="325"/>
      <c r="BE41" s="325" t="str">
        <f t="shared" si="47"/>
        <v>N/A</v>
      </c>
      <c r="BF41" s="325"/>
      <c r="BG41" s="325" t="str">
        <f t="shared" si="47"/>
        <v>N/A</v>
      </c>
      <c r="BH41" s="325"/>
      <c r="BI41" s="325" t="str">
        <f t="shared" si="47"/>
        <v>N/A</v>
      </c>
      <c r="BJ41" s="325"/>
      <c r="BK41" s="325" t="str">
        <f t="shared" si="47"/>
        <v>N/A</v>
      </c>
      <c r="BL41" s="325"/>
      <c r="BM41" s="325" t="str">
        <f t="shared" si="47"/>
        <v>N/A</v>
      </c>
      <c r="BN41" s="325"/>
      <c r="BO41" s="325" t="str">
        <f t="shared" si="47"/>
        <v>N/A</v>
      </c>
      <c r="BP41" s="325"/>
      <c r="BQ41" s="325" t="str">
        <f t="shared" si="47"/>
        <v>N/A</v>
      </c>
      <c r="BR41" s="325"/>
      <c r="BS41" s="325" t="str">
        <f t="shared" si="47"/>
        <v>N/A</v>
      </c>
      <c r="BT41" s="325"/>
      <c r="BU41" s="325" t="str">
        <f t="shared" si="47"/>
        <v>N/A</v>
      </c>
      <c r="BV41" s="313"/>
      <c r="BW41" s="251"/>
      <c r="BX41" s="251"/>
      <c r="BY41" s="251"/>
      <c r="BZ41" s="251"/>
      <c r="CA41" s="251"/>
      <c r="CB41" s="251"/>
      <c r="CC41" s="251"/>
      <c r="CD41" s="251"/>
      <c r="CE41" s="251"/>
      <c r="CF41" s="251"/>
      <c r="CG41" s="251"/>
      <c r="CH41" s="251"/>
      <c r="CI41" s="251"/>
      <c r="CJ41" s="251"/>
    </row>
    <row r="42" spans="1:88" s="217" customFormat="1" ht="12" customHeight="1">
      <c r="A42" s="399"/>
      <c r="B42" s="398"/>
      <c r="C42" s="278"/>
      <c r="D42"/>
      <c r="E42"/>
      <c r="F42"/>
      <c r="G42"/>
      <c r="H42"/>
      <c r="I42"/>
      <c r="J42"/>
      <c r="K42"/>
      <c r="L42"/>
      <c r="M42"/>
      <c r="N42"/>
      <c r="O42"/>
      <c r="P42"/>
      <c r="Q42"/>
      <c r="R42"/>
      <c r="S42"/>
      <c r="T42"/>
      <c r="U42"/>
      <c r="V42"/>
      <c r="W42"/>
      <c r="X42"/>
      <c r="Y42"/>
      <c r="Z42"/>
      <c r="AA42"/>
      <c r="AB42"/>
      <c r="AC42"/>
      <c r="AD42"/>
      <c r="AE42"/>
      <c r="AF42"/>
      <c r="AG42"/>
      <c r="AH42"/>
      <c r="AI42"/>
      <c r="AJ42"/>
      <c r="AK42"/>
      <c r="AL42"/>
      <c r="AM42" s="359"/>
      <c r="AN42" s="476">
        <v>29</v>
      </c>
      <c r="AO42" s="481" t="s">
        <v>576</v>
      </c>
      <c r="AP42" s="310" t="s">
        <v>169</v>
      </c>
      <c r="AQ42" s="331">
        <f>F11+F12+F13+F14+F15+F16</f>
        <v>0</v>
      </c>
      <c r="AR42" s="331"/>
      <c r="AS42" s="331">
        <f aca="true" t="shared" si="48" ref="AS42:BU42">H11+H12+H13+H14+H15+H16</f>
        <v>0</v>
      </c>
      <c r="AT42" s="331"/>
      <c r="AU42" s="331">
        <f t="shared" si="48"/>
        <v>0</v>
      </c>
      <c r="AV42" s="331"/>
      <c r="AW42" s="331">
        <f t="shared" si="48"/>
        <v>0</v>
      </c>
      <c r="AX42" s="331"/>
      <c r="AY42" s="331">
        <f t="shared" si="48"/>
        <v>0</v>
      </c>
      <c r="AZ42" s="331"/>
      <c r="BA42" s="331">
        <f t="shared" si="48"/>
        <v>0</v>
      </c>
      <c r="BB42" s="331"/>
      <c r="BC42" s="331">
        <f t="shared" si="48"/>
        <v>0</v>
      </c>
      <c r="BD42" s="331"/>
      <c r="BE42" s="331">
        <f t="shared" si="48"/>
        <v>0</v>
      </c>
      <c r="BF42" s="331"/>
      <c r="BG42" s="331">
        <f t="shared" si="48"/>
        <v>0</v>
      </c>
      <c r="BH42" s="331"/>
      <c r="BI42" s="331">
        <f t="shared" si="48"/>
        <v>0</v>
      </c>
      <c r="BJ42" s="331"/>
      <c r="BK42" s="331">
        <f t="shared" si="48"/>
        <v>0</v>
      </c>
      <c r="BL42" s="331"/>
      <c r="BM42" s="331">
        <f t="shared" si="48"/>
        <v>0</v>
      </c>
      <c r="BN42" s="331"/>
      <c r="BO42" s="331">
        <f t="shared" si="48"/>
        <v>0</v>
      </c>
      <c r="BP42" s="331"/>
      <c r="BQ42" s="331">
        <f t="shared" si="48"/>
        <v>0</v>
      </c>
      <c r="BR42" s="331"/>
      <c r="BS42" s="331">
        <f t="shared" si="48"/>
        <v>0</v>
      </c>
      <c r="BT42" s="331"/>
      <c r="BU42" s="331">
        <f t="shared" si="48"/>
        <v>0</v>
      </c>
      <c r="BV42" s="192"/>
      <c r="BW42" s="359"/>
      <c r="BX42" s="359"/>
      <c r="BY42" s="359"/>
      <c r="BZ42" s="359"/>
      <c r="CA42" s="359"/>
      <c r="CB42" s="359"/>
      <c r="CC42" s="359"/>
      <c r="CD42" s="359"/>
      <c r="CE42" s="359"/>
      <c r="CF42" s="359"/>
      <c r="CG42" s="359"/>
      <c r="CH42" s="359"/>
      <c r="CI42" s="359"/>
      <c r="CJ42" s="359"/>
    </row>
    <row r="43" spans="2:74" ht="15.75">
      <c r="B43" s="406">
        <v>2</v>
      </c>
      <c r="C43" s="119" t="s">
        <v>50</v>
      </c>
      <c r="D43" s="121"/>
      <c r="E43" s="119"/>
      <c r="F43" s="117"/>
      <c r="G43" s="162"/>
      <c r="H43" s="182"/>
      <c r="I43" s="166"/>
      <c r="J43" s="182"/>
      <c r="K43" s="166"/>
      <c r="L43" s="182"/>
      <c r="M43" s="166"/>
      <c r="N43" s="182"/>
      <c r="O43" s="166"/>
      <c r="P43" s="182"/>
      <c r="Q43" s="162"/>
      <c r="R43" s="182"/>
      <c r="S43" s="162"/>
      <c r="T43" s="182"/>
      <c r="U43" s="162"/>
      <c r="V43" s="182"/>
      <c r="W43" s="162"/>
      <c r="X43" s="182"/>
      <c r="Y43" s="162"/>
      <c r="Z43" s="189"/>
      <c r="AA43" s="162"/>
      <c r="AB43" s="182"/>
      <c r="AC43" s="166"/>
      <c r="AD43" s="182"/>
      <c r="AE43" s="162"/>
      <c r="AF43" s="182"/>
      <c r="AG43" s="162"/>
      <c r="AH43" s="182"/>
      <c r="AI43" s="234"/>
      <c r="AJ43" s="194"/>
      <c r="AK43" s="557"/>
      <c r="AL43" s="557"/>
      <c r="AN43" s="468" t="s">
        <v>677</v>
      </c>
      <c r="AO43" s="481" t="s">
        <v>577</v>
      </c>
      <c r="AP43" s="310"/>
      <c r="AQ43" s="325" t="str">
        <f>IF(ISBLANK(F9),"N/A",IF(ROUND(AQ39,0)&lt;ROUND(AQ42,0),"1&lt;29",IF(OR(ISBLANK(F11),ISBLANK(F12),ISBLANK(F13),ISBLANK(F14),ISBLANK(F15)),"N/A",IF((ROUND(AQ39,0)=ROUND(AQ42,0)),"ok","&lt;&gt;"))))</f>
        <v>N/A</v>
      </c>
      <c r="AR43" s="325"/>
      <c r="AS43" s="325" t="str">
        <f aca="true" t="shared" si="49" ref="AS43:BU43">IF(ISBLANK(H9),"N/A",IF(ROUND(AS39,0)&lt;ROUND(AS42,0),"1&lt;29",IF(OR(ISBLANK(H11),ISBLANK(H12),ISBLANK(H13),ISBLANK(H14),ISBLANK(H15)),"N/A",IF((ROUND(AS39,0)=ROUND(AS42,0)),"ok","&lt;&gt;"))))</f>
        <v>N/A</v>
      </c>
      <c r="AT43" s="325"/>
      <c r="AU43" s="325" t="str">
        <f t="shared" si="49"/>
        <v>N/A</v>
      </c>
      <c r="AV43" s="325"/>
      <c r="AW43" s="325" t="str">
        <f t="shared" si="49"/>
        <v>N/A</v>
      </c>
      <c r="AX43" s="325"/>
      <c r="AY43" s="325" t="str">
        <f t="shared" si="49"/>
        <v>N/A</v>
      </c>
      <c r="AZ43" s="325"/>
      <c r="BA43" s="325" t="str">
        <f t="shared" si="49"/>
        <v>N/A</v>
      </c>
      <c r="BB43" s="325"/>
      <c r="BC43" s="325" t="str">
        <f t="shared" si="49"/>
        <v>N/A</v>
      </c>
      <c r="BD43" s="325"/>
      <c r="BE43" s="325" t="str">
        <f t="shared" si="49"/>
        <v>N/A</v>
      </c>
      <c r="BF43" s="325"/>
      <c r="BG43" s="325" t="str">
        <f t="shared" si="49"/>
        <v>N/A</v>
      </c>
      <c r="BH43" s="325"/>
      <c r="BI43" s="325" t="str">
        <f t="shared" si="49"/>
        <v>N/A</v>
      </c>
      <c r="BJ43" s="325"/>
      <c r="BK43" s="325" t="str">
        <f t="shared" si="49"/>
        <v>N/A</v>
      </c>
      <c r="BL43" s="325"/>
      <c r="BM43" s="325" t="str">
        <f t="shared" si="49"/>
        <v>N/A</v>
      </c>
      <c r="BN43" s="325"/>
      <c r="BO43" s="325" t="str">
        <f t="shared" si="49"/>
        <v>N/A</v>
      </c>
      <c r="BP43" s="325"/>
      <c r="BQ43" s="325" t="str">
        <f t="shared" si="49"/>
        <v>N/A</v>
      </c>
      <c r="BR43" s="325"/>
      <c r="BS43" s="325" t="str">
        <f t="shared" si="49"/>
        <v>N/A</v>
      </c>
      <c r="BT43" s="325"/>
      <c r="BU43" s="325" t="str">
        <f t="shared" si="49"/>
        <v>N/A</v>
      </c>
      <c r="BV43" s="313"/>
    </row>
    <row r="44" spans="3:74" ht="15.75">
      <c r="C44" s="45"/>
      <c r="D44" s="45"/>
      <c r="E44" s="46"/>
      <c r="F44" s="13"/>
      <c r="G44" s="169"/>
      <c r="H44" s="188"/>
      <c r="I44" s="171"/>
      <c r="J44" s="188"/>
      <c r="K44" s="171"/>
      <c r="L44" s="188"/>
      <c r="M44" s="171"/>
      <c r="N44" s="188"/>
      <c r="O44" s="171"/>
      <c r="P44" s="188"/>
      <c r="Q44" s="169"/>
      <c r="R44" s="188"/>
      <c r="S44" s="169"/>
      <c r="T44" s="188"/>
      <c r="U44" s="169"/>
      <c r="V44" s="188"/>
      <c r="W44" s="169"/>
      <c r="X44" s="188"/>
      <c r="Y44" s="169"/>
      <c r="Z44" s="190"/>
      <c r="AA44" s="169"/>
      <c r="AB44" s="188"/>
      <c r="AC44" s="171"/>
      <c r="AD44" s="188"/>
      <c r="AE44" s="169"/>
      <c r="AF44" s="183"/>
      <c r="AG44" s="163"/>
      <c r="AH44" s="183"/>
      <c r="AK44" s="80"/>
      <c r="AL44" s="80"/>
      <c r="AN44" s="476" t="s">
        <v>673</v>
      </c>
      <c r="AO44" s="481" t="s">
        <v>669</v>
      </c>
      <c r="AP44" s="310" t="s">
        <v>169</v>
      </c>
      <c r="AQ44" s="331">
        <f>'W3'!F8</f>
        <v>0</v>
      </c>
      <c r="AR44" s="331"/>
      <c r="AS44" s="331">
        <f>'W3'!H8</f>
        <v>0</v>
      </c>
      <c r="AT44" s="331"/>
      <c r="AU44" s="331">
        <f>'W3'!J8</f>
        <v>0</v>
      </c>
      <c r="AV44" s="331"/>
      <c r="AW44" s="331">
        <f>'W3'!L8</f>
        <v>0</v>
      </c>
      <c r="AX44" s="331"/>
      <c r="AY44" s="331">
        <f>'W3'!N8</f>
        <v>0</v>
      </c>
      <c r="AZ44" s="331"/>
      <c r="BA44" s="331">
        <f>'W3'!P8</f>
        <v>0</v>
      </c>
      <c r="BB44" s="331"/>
      <c r="BC44" s="331">
        <f>'W3'!R8</f>
        <v>0</v>
      </c>
      <c r="BD44" s="331"/>
      <c r="BE44" s="331">
        <f>'W3'!T8</f>
        <v>0</v>
      </c>
      <c r="BF44" s="331"/>
      <c r="BG44" s="331">
        <f>'W3'!V8</f>
        <v>0</v>
      </c>
      <c r="BH44" s="331"/>
      <c r="BI44" s="331">
        <f>'W3'!X8</f>
        <v>0</v>
      </c>
      <c r="BJ44" s="331"/>
      <c r="BK44" s="331">
        <f>'W3'!Z8</f>
        <v>0</v>
      </c>
      <c r="BL44" s="331"/>
      <c r="BM44" s="331">
        <f>'W3'!AB8</f>
        <v>0</v>
      </c>
      <c r="BN44" s="331"/>
      <c r="BO44" s="331">
        <f>'W3'!AD8</f>
        <v>0</v>
      </c>
      <c r="BP44" s="331"/>
      <c r="BQ44" s="331">
        <f>'W3'!AF8</f>
        <v>0</v>
      </c>
      <c r="BR44" s="331"/>
      <c r="BS44" s="331">
        <f>'W3'!AH8</f>
        <v>0</v>
      </c>
      <c r="BT44" s="331"/>
      <c r="BU44" s="331">
        <f>'W3'!AJ8</f>
        <v>0</v>
      </c>
      <c r="BV44" s="192"/>
    </row>
    <row r="45" spans="3:74" ht="18" customHeight="1">
      <c r="C45" s="73" t="s">
        <v>168</v>
      </c>
      <c r="D45" s="686" t="s">
        <v>51</v>
      </c>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7"/>
      <c r="AL45" s="688"/>
      <c r="AN45" s="468" t="s">
        <v>677</v>
      </c>
      <c r="AO45" s="481" t="s">
        <v>578</v>
      </c>
      <c r="AP45" s="310"/>
      <c r="AQ45" s="325" t="str">
        <f>IF(OR(ISBLANK(F9),ISBLANK('W3'!F8),),"N/A",IF((AQ39=AQ44),"ok","&lt;&gt;"))</f>
        <v>N/A</v>
      </c>
      <c r="AR45" s="325"/>
      <c r="AS45" s="325" t="str">
        <f>IF(OR(ISBLANK(H9),ISBLANK('W3'!H8),),"N/A",IF((AS39=AS44),"ok","&lt;&gt;"))</f>
        <v>N/A</v>
      </c>
      <c r="AT45" s="325"/>
      <c r="AU45" s="325" t="str">
        <f>IF(OR(ISBLANK(J9),ISBLANK('W3'!J8),),"N/A",IF((AU39=AU44),"ok","&lt;&gt;"))</f>
        <v>N/A</v>
      </c>
      <c r="AV45" s="325"/>
      <c r="AW45" s="325" t="str">
        <f>IF(OR(ISBLANK(L9),ISBLANK('W3'!L8),),"N/A",IF((AW39=AW44),"ok","&lt;&gt;"))</f>
        <v>N/A</v>
      </c>
      <c r="AX45" s="325"/>
      <c r="AY45" s="325" t="str">
        <f>IF(OR(ISBLANK(N9),ISBLANK('W3'!N8),),"N/A",IF((AY39=AY44),"ok","&lt;&gt;"))</f>
        <v>N/A</v>
      </c>
      <c r="AZ45" s="325"/>
      <c r="BA45" s="325" t="str">
        <f>IF(OR(ISBLANK(P9),ISBLANK('W3'!P8),),"N/A",IF((BA39=BA44),"ok","&lt;&gt;"))</f>
        <v>N/A</v>
      </c>
      <c r="BB45" s="325"/>
      <c r="BC45" s="325" t="str">
        <f>IF(OR(ISBLANK(R9),ISBLANK('W3'!R8),),"N/A",IF((BC39=BC44),"ok","&lt;&gt;"))</f>
        <v>N/A</v>
      </c>
      <c r="BD45" s="325"/>
      <c r="BE45" s="325" t="str">
        <f>IF(OR(ISBLANK(T9),ISBLANK('W3'!T8),),"N/A",IF((BE39=BE44),"ok","&lt;&gt;"))</f>
        <v>N/A</v>
      </c>
      <c r="BF45" s="325"/>
      <c r="BG45" s="325" t="str">
        <f>IF(OR(ISBLANK(V9),ISBLANK('W3'!V8),),"N/A",IF((BG39=BG44),"ok","&lt;&gt;"))</f>
        <v>N/A</v>
      </c>
      <c r="BH45" s="325"/>
      <c r="BI45" s="325" t="str">
        <f>IF(OR(ISBLANK(X9),ISBLANK('W3'!X8),),"N/A",IF((BI39=BI44),"ok","&lt;&gt;"))</f>
        <v>N/A</v>
      </c>
      <c r="BJ45" s="325"/>
      <c r="BK45" s="325" t="str">
        <f>IF(OR(ISBLANK(Z9),ISBLANK('W3'!Z8),),"N/A",IF((BK39=BK44),"ok","&lt;&gt;"))</f>
        <v>N/A</v>
      </c>
      <c r="BL45" s="325"/>
      <c r="BM45" s="325" t="str">
        <f>IF(OR(ISBLANK(AB9),ISBLANK('W3'!AB8),),"N/A",IF((BM39=BM44),"ok","&lt;&gt;"))</f>
        <v>N/A</v>
      </c>
      <c r="BN45" s="325"/>
      <c r="BO45" s="325" t="str">
        <f>IF(OR(ISBLANK(AD9),ISBLANK('W3'!AD8),),"N/A",IF((BO39=BO44),"ok","&lt;&gt;"))</f>
        <v>N/A</v>
      </c>
      <c r="BP45" s="325"/>
      <c r="BQ45" s="325" t="str">
        <f>IF(OR(ISBLANK(AF9),ISBLANK('W3'!AF8),),"N/A",IF((BQ39=BQ44),"ok","&lt;&gt;"))</f>
        <v>N/A</v>
      </c>
      <c r="BR45" s="325"/>
      <c r="BS45" s="325" t="str">
        <f>IF(OR(ISBLANK(AH9),ISBLANK('W3'!AH8),),"N/A",IF((BS39=BS44),"ok","&lt;&gt;"))</f>
        <v>N/A</v>
      </c>
      <c r="BT45" s="325"/>
      <c r="BU45" s="325" t="str">
        <f>IF(OR(ISBLANK(AJ9),ISBLANK('W3'!AJ8),),"N/A",IF((BU39=BU44),"ok","&lt;&gt;"))</f>
        <v>N/A</v>
      </c>
      <c r="BV45" s="313"/>
    </row>
    <row r="46" spans="3:74" ht="18" customHeight="1">
      <c r="C46" s="546"/>
      <c r="D46" s="694"/>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6"/>
      <c r="AN46" s="476">
        <v>30</v>
      </c>
      <c r="AO46" s="467" t="s">
        <v>135</v>
      </c>
      <c r="AP46" s="310" t="s">
        <v>169</v>
      </c>
      <c r="AQ46" s="331">
        <f>F11+'W3'!F11+'W3'!F12+'W3'!F13-'W3'!F14</f>
        <v>0</v>
      </c>
      <c r="AR46" s="331"/>
      <c r="AS46" s="331">
        <f>H11+'W3'!H11+'W3'!H12+'W3'!H13-'W3'!H14</f>
        <v>0</v>
      </c>
      <c r="AT46" s="331"/>
      <c r="AU46" s="331">
        <f>J11+'W3'!J11+'W3'!J12+'W3'!J13-'W3'!J14</f>
        <v>0</v>
      </c>
      <c r="AV46" s="331"/>
      <c r="AW46" s="331">
        <f>L11+'W3'!L11+'W3'!L12+'W3'!L13-'W3'!L14</f>
        <v>0</v>
      </c>
      <c r="AX46" s="331"/>
      <c r="AY46" s="331">
        <f>N11+'W3'!N11+'W3'!N12+'W3'!N13-'W3'!N14</f>
        <v>0</v>
      </c>
      <c r="AZ46" s="331"/>
      <c r="BA46" s="331">
        <f>P11+'W3'!P11+'W3'!P12+'W3'!P13-'W3'!P14</f>
        <v>0</v>
      </c>
      <c r="BB46" s="331"/>
      <c r="BC46" s="331">
        <f>R11+'W3'!R11+'W3'!R12+'W3'!R13-'W3'!R14</f>
        <v>0</v>
      </c>
      <c r="BD46" s="331"/>
      <c r="BE46" s="331">
        <f>T11+'W3'!T11+'W3'!T12+'W3'!T13-'W3'!T14</f>
        <v>0</v>
      </c>
      <c r="BF46" s="331"/>
      <c r="BG46" s="331">
        <f>V11+'W3'!V11+'W3'!V12+'W3'!V13-'W3'!V14</f>
        <v>0</v>
      </c>
      <c r="BH46" s="331"/>
      <c r="BI46" s="331">
        <f>X11+'W3'!X11+'W3'!X12+'W3'!X13-'W3'!X14</f>
        <v>0</v>
      </c>
      <c r="BJ46" s="331"/>
      <c r="BK46" s="331">
        <f>Z11+'W3'!Z11+'W3'!Z12+'W3'!Z13-'W3'!Z14</f>
        <v>0</v>
      </c>
      <c r="BL46" s="331"/>
      <c r="BM46" s="331">
        <f>AB11+'W3'!AB11+'W3'!AB12+'W3'!AB13-'W3'!AB14</f>
        <v>0</v>
      </c>
      <c r="BN46" s="331"/>
      <c r="BO46" s="331">
        <f>AD11+'W3'!AD11+'W3'!AD12+'W3'!AD13-'W3'!AD14</f>
        <v>0</v>
      </c>
      <c r="BP46" s="331"/>
      <c r="BQ46" s="331">
        <f>AF11+'W3'!AF11+'W3'!AF12+'W3'!AF13-'W3'!AF14</f>
        <v>0</v>
      </c>
      <c r="BR46" s="331"/>
      <c r="BS46" s="331">
        <f>AH11+'W3'!AH11+'W3'!AH12+'W3'!AH13-'W3'!AH14</f>
        <v>0</v>
      </c>
      <c r="BT46" s="331"/>
      <c r="BU46" s="331">
        <f>AJ11+'W3'!AJ11+'W3'!AJ12+'W3'!AJ13-'W3'!AJ14</f>
        <v>0</v>
      </c>
      <c r="BV46" s="331"/>
    </row>
    <row r="47" spans="3:74" ht="18" customHeight="1">
      <c r="C47" s="522"/>
      <c r="D47" s="691"/>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548"/>
      <c r="AJ47" s="227"/>
      <c r="AK47" s="549"/>
      <c r="AL47" s="550"/>
      <c r="AN47" s="476" t="s">
        <v>615</v>
      </c>
      <c r="AO47" s="481" t="s">
        <v>671</v>
      </c>
      <c r="AP47" s="310" t="s">
        <v>169</v>
      </c>
      <c r="AQ47" s="325">
        <f>'W5'!F8</f>
        <v>0</v>
      </c>
      <c r="AR47" s="325"/>
      <c r="AS47" s="325">
        <f>'W5'!H8</f>
        <v>0</v>
      </c>
      <c r="AT47" s="325"/>
      <c r="AU47" s="325">
        <f>'W5'!J8</f>
        <v>0</v>
      </c>
      <c r="AV47" s="325"/>
      <c r="AW47" s="325">
        <f>'W5'!L8</f>
        <v>0</v>
      </c>
      <c r="AX47" s="325"/>
      <c r="AY47" s="325">
        <f>'W5'!N8</f>
        <v>0</v>
      </c>
      <c r="AZ47" s="325"/>
      <c r="BA47" s="325">
        <f>'W5'!P8</f>
        <v>0</v>
      </c>
      <c r="BB47" s="325"/>
      <c r="BC47" s="325">
        <f>'W5'!R8</f>
        <v>0</v>
      </c>
      <c r="BD47" s="325"/>
      <c r="BE47" s="325">
        <f>'W5'!T8</f>
        <v>0</v>
      </c>
      <c r="BF47" s="325"/>
      <c r="BG47" s="325">
        <f>'W5'!V8</f>
        <v>0</v>
      </c>
      <c r="BH47" s="325"/>
      <c r="BI47" s="325">
        <f>'W5'!X8</f>
        <v>0</v>
      </c>
      <c r="BJ47" s="325"/>
      <c r="BK47" s="325">
        <f>'W5'!Z8</f>
        <v>0</v>
      </c>
      <c r="BL47" s="325"/>
      <c r="BM47" s="325">
        <f>'W5'!AB8</f>
        <v>0</v>
      </c>
      <c r="BN47" s="325"/>
      <c r="BO47" s="325">
        <f>'W5'!AD8</f>
        <v>0</v>
      </c>
      <c r="BP47" s="325"/>
      <c r="BQ47" s="325">
        <f>'W5'!AF8</f>
        <v>0</v>
      </c>
      <c r="BR47" s="325"/>
      <c r="BS47" s="325">
        <f>'W5'!AH8</f>
        <v>0</v>
      </c>
      <c r="BT47" s="325"/>
      <c r="BU47" s="325">
        <f>'W5'!AJ8</f>
        <v>0</v>
      </c>
      <c r="BV47" s="313"/>
    </row>
    <row r="48" spans="3:74" ht="18" customHeight="1">
      <c r="C48" s="522"/>
      <c r="D48" s="691"/>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548"/>
      <c r="AJ48" s="227"/>
      <c r="AK48" s="549"/>
      <c r="AL48" s="550"/>
      <c r="AN48" s="468" t="s">
        <v>677</v>
      </c>
      <c r="AO48" s="481" t="s">
        <v>136</v>
      </c>
      <c r="AP48" s="59"/>
      <c r="AQ48" s="331" t="str">
        <f>IF(OR(ISBLANK(F11),ISBLANK('W5'!F8)),"N/A",IF(('W2'!AQ46&gt;=AQ47),"ok","&lt;&gt;"))</f>
        <v>N/A</v>
      </c>
      <c r="AR48" s="331"/>
      <c r="AS48" s="331" t="str">
        <f>IF(OR(ISBLANK(H11),ISBLANK('W5'!H8)),"N/A",IF(('W2'!AS46&gt;=AS47),"ok","&lt;&gt;"))</f>
        <v>N/A</v>
      </c>
      <c r="AT48" s="331"/>
      <c r="AU48" s="331" t="str">
        <f>IF(OR(ISBLANK(J11),ISBLANK('W5'!J8)),"N/A",IF(('W2'!AU46&gt;=AU47),"ok","&lt;&gt;"))</f>
        <v>N/A</v>
      </c>
      <c r="AV48" s="331"/>
      <c r="AW48" s="331" t="str">
        <f>IF(OR(ISBLANK(L11),ISBLANK('W5'!L8)),"N/A",IF(('W2'!AW46&gt;=AW47),"ok","&lt;&gt;"))</f>
        <v>N/A</v>
      </c>
      <c r="AX48" s="331"/>
      <c r="AY48" s="331" t="str">
        <f>IF(OR(ISBLANK(N11),ISBLANK('W5'!N8)),"N/A",IF(('W2'!AY46&gt;=AY47),"ok","&lt;&gt;"))</f>
        <v>N/A</v>
      </c>
      <c r="AZ48" s="331"/>
      <c r="BA48" s="331" t="str">
        <f>IF(OR(ISBLANK(P11),ISBLANK('W5'!P8)),"N/A",IF(('W2'!BA46&gt;=BA47),"ok","&lt;&gt;"))</f>
        <v>N/A</v>
      </c>
      <c r="BB48" s="331"/>
      <c r="BC48" s="331" t="str">
        <f>IF(OR(ISBLANK(R11),ISBLANK('W5'!R8)),"N/A",IF(('W2'!BC46&gt;=BC47),"ok","&lt;&gt;"))</f>
        <v>N/A</v>
      </c>
      <c r="BD48" s="331"/>
      <c r="BE48" s="331" t="str">
        <f>IF(OR(ISBLANK(T11),ISBLANK('W5'!T8)),"N/A",IF(('W2'!BE46&gt;=BE47),"ok","&lt;&gt;"))</f>
        <v>N/A</v>
      </c>
      <c r="BF48" s="331"/>
      <c r="BG48" s="331" t="str">
        <f>IF(OR(ISBLANK(V11),ISBLANK('W5'!V8)),"N/A",IF(('W2'!BG46&gt;=BG47),"ok","&lt;&gt;"))</f>
        <v>N/A</v>
      </c>
      <c r="BH48" s="331"/>
      <c r="BI48" s="331" t="str">
        <f>IF(OR(ISBLANK(X11),ISBLANK('W5'!X8)),"N/A",IF(('W2'!BI46&gt;=BI47),"ok","&lt;&gt;"))</f>
        <v>N/A</v>
      </c>
      <c r="BJ48" s="331"/>
      <c r="BK48" s="331" t="str">
        <f>IF(OR(ISBLANK(Z11),ISBLANK('W5'!Z8)),"N/A",IF(('W2'!BK46&gt;=BK47),"ok","&lt;&gt;"))</f>
        <v>N/A</v>
      </c>
      <c r="BL48" s="331"/>
      <c r="BM48" s="331" t="str">
        <f>IF(OR(ISBLANK(AB11),ISBLANK('W5'!AB8)),"N/A",IF(('W2'!BM46&gt;=BM47),"ok","&lt;&gt;"))</f>
        <v>N/A</v>
      </c>
      <c r="BN48" s="331"/>
      <c r="BO48" s="331" t="str">
        <f>IF(OR(ISBLANK(AD11),ISBLANK('W5'!AD8)),"N/A",IF(('W2'!BO46&gt;=BO47),"ok","&lt;&gt;"))</f>
        <v>N/A</v>
      </c>
      <c r="BP48" s="331"/>
      <c r="BQ48" s="331" t="str">
        <f>IF(OR(ISBLANK(AF11),ISBLANK('W5'!AF8)),"N/A",IF(('W2'!BQ46&gt;=BQ47),"ok","&lt;&gt;"))</f>
        <v>N/A</v>
      </c>
      <c r="BR48" s="331"/>
      <c r="BS48" s="331" t="str">
        <f>IF(OR(ISBLANK(AH11),ISBLANK('W5'!AH8)),"N/A",IF(('W2'!BS46&gt;=BS47),"ok","&lt;&gt;"))</f>
        <v>N/A</v>
      </c>
      <c r="BT48" s="331"/>
      <c r="BU48" s="331" t="str">
        <f>IF(OR(ISBLANK(AJ11),ISBLANK('W5'!AJ8)),"N/A",IF(('W2'!BU46&gt;=BU47),"ok","&lt;&gt;"))</f>
        <v>N/A</v>
      </c>
      <c r="BV48" s="192"/>
    </row>
    <row r="49" spans="3:74" ht="18" customHeight="1">
      <c r="C49" s="522"/>
      <c r="D49" s="691"/>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227"/>
      <c r="AI49" s="548"/>
      <c r="AJ49" s="227"/>
      <c r="AK49" s="549"/>
      <c r="AL49" s="550"/>
      <c r="AM49" s="479"/>
      <c r="AN49" s="59">
        <v>11</v>
      </c>
      <c r="AO49" s="389" t="s">
        <v>666</v>
      </c>
      <c r="AP49" s="310" t="s">
        <v>169</v>
      </c>
      <c r="AQ49" s="325">
        <f>F18</f>
        <v>0</v>
      </c>
      <c r="AR49" s="325"/>
      <c r="AS49" s="325">
        <f aca="true" t="shared" si="50" ref="AS49:BU49">H18</f>
        <v>0</v>
      </c>
      <c r="AT49" s="325"/>
      <c r="AU49" s="325">
        <f t="shared" si="50"/>
        <v>0</v>
      </c>
      <c r="AV49" s="325"/>
      <c r="AW49" s="325">
        <f t="shared" si="50"/>
        <v>0</v>
      </c>
      <c r="AX49" s="325"/>
      <c r="AY49" s="325">
        <f t="shared" si="50"/>
        <v>0</v>
      </c>
      <c r="AZ49" s="325"/>
      <c r="BA49" s="325">
        <f t="shared" si="50"/>
        <v>0</v>
      </c>
      <c r="BB49" s="325"/>
      <c r="BC49" s="325">
        <f t="shared" si="50"/>
        <v>0</v>
      </c>
      <c r="BD49" s="325"/>
      <c r="BE49" s="325">
        <f t="shared" si="50"/>
        <v>0</v>
      </c>
      <c r="BF49" s="325"/>
      <c r="BG49" s="325">
        <f t="shared" si="50"/>
        <v>0</v>
      </c>
      <c r="BH49" s="325"/>
      <c r="BI49" s="325">
        <f t="shared" si="50"/>
        <v>0</v>
      </c>
      <c r="BJ49" s="325"/>
      <c r="BK49" s="325">
        <f t="shared" si="50"/>
        <v>0</v>
      </c>
      <c r="BL49" s="325"/>
      <c r="BM49" s="325">
        <f t="shared" si="50"/>
        <v>0</v>
      </c>
      <c r="BN49" s="325"/>
      <c r="BO49" s="325">
        <f t="shared" si="50"/>
        <v>0</v>
      </c>
      <c r="BP49" s="325"/>
      <c r="BQ49" s="325">
        <f t="shared" si="50"/>
        <v>0</v>
      </c>
      <c r="BR49" s="325"/>
      <c r="BS49" s="325">
        <f t="shared" si="50"/>
        <v>0</v>
      </c>
      <c r="BT49" s="325"/>
      <c r="BU49" s="325">
        <f t="shared" si="50"/>
        <v>0</v>
      </c>
      <c r="BV49" s="313"/>
    </row>
    <row r="50" spans="3:74" ht="18" customHeight="1">
      <c r="C50" s="522"/>
      <c r="D50" s="691"/>
      <c r="E50" s="692"/>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c r="AD50" s="692"/>
      <c r="AE50" s="692"/>
      <c r="AF50" s="692"/>
      <c r="AG50" s="692"/>
      <c r="AH50" s="227"/>
      <c r="AI50" s="548"/>
      <c r="AJ50" s="227"/>
      <c r="AK50" s="549"/>
      <c r="AL50" s="550"/>
      <c r="AM50" s="479"/>
      <c r="AN50" s="476">
        <v>31</v>
      </c>
      <c r="AO50" s="481" t="s">
        <v>579</v>
      </c>
      <c r="AP50" s="310" t="s">
        <v>169</v>
      </c>
      <c r="AQ50" s="331">
        <f>SUM(F20:F25)</f>
        <v>0</v>
      </c>
      <c r="AR50" s="331"/>
      <c r="AS50" s="331">
        <f aca="true" t="shared" si="51" ref="AS50:BU50">SUM(H20:H25)</f>
        <v>0</v>
      </c>
      <c r="AT50" s="331"/>
      <c r="AU50" s="331">
        <f t="shared" si="51"/>
        <v>0</v>
      </c>
      <c r="AV50" s="331"/>
      <c r="AW50" s="331">
        <f t="shared" si="51"/>
        <v>0</v>
      </c>
      <c r="AX50" s="331"/>
      <c r="AY50" s="331">
        <f t="shared" si="51"/>
        <v>0</v>
      </c>
      <c r="AZ50" s="331"/>
      <c r="BA50" s="331">
        <f t="shared" si="51"/>
        <v>0</v>
      </c>
      <c r="BB50" s="331"/>
      <c r="BC50" s="331">
        <f t="shared" si="51"/>
        <v>0</v>
      </c>
      <c r="BD50" s="331"/>
      <c r="BE50" s="331">
        <f t="shared" si="51"/>
        <v>0</v>
      </c>
      <c r="BF50" s="331"/>
      <c r="BG50" s="331">
        <f t="shared" si="51"/>
        <v>0</v>
      </c>
      <c r="BH50" s="331"/>
      <c r="BI50" s="331">
        <f t="shared" si="51"/>
        <v>0</v>
      </c>
      <c r="BJ50" s="331"/>
      <c r="BK50" s="331">
        <f t="shared" si="51"/>
        <v>0</v>
      </c>
      <c r="BL50" s="331"/>
      <c r="BM50" s="331">
        <f t="shared" si="51"/>
        <v>0</v>
      </c>
      <c r="BN50" s="331"/>
      <c r="BO50" s="331">
        <f t="shared" si="51"/>
        <v>0</v>
      </c>
      <c r="BP50" s="331"/>
      <c r="BQ50" s="331">
        <f t="shared" si="51"/>
        <v>0</v>
      </c>
      <c r="BR50" s="331"/>
      <c r="BS50" s="331">
        <f t="shared" si="51"/>
        <v>0</v>
      </c>
      <c r="BT50" s="331"/>
      <c r="BU50" s="331">
        <f t="shared" si="51"/>
        <v>0</v>
      </c>
      <c r="BV50" s="192"/>
    </row>
    <row r="51" spans="3:74" ht="18" customHeight="1">
      <c r="C51" s="522"/>
      <c r="D51" s="691"/>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c r="AD51" s="692"/>
      <c r="AE51" s="692"/>
      <c r="AF51" s="692"/>
      <c r="AG51" s="692"/>
      <c r="AH51" s="227"/>
      <c r="AI51" s="548"/>
      <c r="AJ51" s="227"/>
      <c r="AK51" s="549"/>
      <c r="AL51" s="550"/>
      <c r="AN51" s="468" t="s">
        <v>677</v>
      </c>
      <c r="AO51" s="481" t="s">
        <v>137</v>
      </c>
      <c r="AP51" s="310"/>
      <c r="AQ51" s="325" t="str">
        <f>IF(ISBLANK(F18),"N/A",IF(ROUND(AQ49,0)&lt;ROUND(AQ50,0),"11&lt;30",IF(OR(ISBLANK(F20),ISBLANK(F21),ISBLANK(F22),ISBLANK(F23),ISBLANK(F24)),"N/A",IF(ROUND(AQ49,0)=ROUND(AQ50,0),"ok","&lt;&gt;"))))</f>
        <v>N/A</v>
      </c>
      <c r="AR51" s="325"/>
      <c r="AS51" s="325" t="str">
        <f>IF(ISBLANK(H18),"N/A",IF(ROUND(AS49,0)&lt;ROUND(AS50,0),"11&lt;30",IF(OR(ISBLANK(H20),ISBLANK(H21),ISBLANK(H22),ISBLANK(H23),ISBLANK(H24)),"N/A",IF(ROUND(AS49,0)=ROUND(AS50,0),"ok","&lt;&gt;"))))</f>
        <v>N/A</v>
      </c>
      <c r="AT51" s="325"/>
      <c r="AU51" s="325" t="str">
        <f>IF(ISBLANK(J18),"N/A",IF(ROUND(AU49,0)&lt;ROUND(AU50,0),"11&lt;30",IF(OR(ISBLANK(J20),ISBLANK(J21),ISBLANK(J22),ISBLANK(J23),ISBLANK(J24)),"N/A",IF(ROUND(AU49,0)=ROUND(AU50,0),"ok","&lt;&gt;"))))</f>
        <v>N/A</v>
      </c>
      <c r="AV51" s="325"/>
      <c r="AW51" s="325" t="str">
        <f>IF(ISBLANK(L18),"N/A",IF(ROUND(AW49,0)&lt;ROUND(AW50,0),"11&lt;30",IF(OR(ISBLANK(L20),ISBLANK(L21),ISBLANK(L22),ISBLANK(L23),ISBLANK(L24)),"N/A",IF(ROUND(AW49,0)=ROUND(AW50,0),"ok","&lt;&gt;"))))</f>
        <v>N/A</v>
      </c>
      <c r="AX51" s="325"/>
      <c r="AY51" s="325" t="str">
        <f>IF(ISBLANK(N18),"N/A",IF(ROUND(AY49,0)&lt;ROUND(AY50,0),"11&lt;30",IF(OR(ISBLANK(N20),ISBLANK(N21),ISBLANK(N22),ISBLANK(N23),ISBLANK(N24)),"N/A",IF(ROUND(AY49,0)=ROUND(AY50,0),"ok","&lt;&gt;"))))</f>
        <v>N/A</v>
      </c>
      <c r="AZ51" s="325"/>
      <c r="BA51" s="325" t="str">
        <f>IF(ISBLANK(P18),"N/A",IF(ROUND(BA49,0)&lt;ROUND(BA50,0),"11&lt;30",IF(OR(ISBLANK(P20),ISBLANK(P21),ISBLANK(P22),ISBLANK(P23),ISBLANK(P24)),"N/A",IF(ROUND(BA49,0)=ROUND(BA50,0),"ok","&lt;&gt;"))))</f>
        <v>N/A</v>
      </c>
      <c r="BB51" s="325"/>
      <c r="BC51" s="325" t="str">
        <f>IF(ISBLANK(R18),"N/A",IF(ROUND(BC49,0)&lt;ROUND(BC50,0),"11&lt;30",IF(OR(ISBLANK(R20),ISBLANK(R21),ISBLANK(R22),ISBLANK(R23),ISBLANK(R24)),"N/A",IF(ROUND(BC49,0)=ROUND(BC50,0),"ok","&lt;&gt;"))))</f>
        <v>N/A</v>
      </c>
      <c r="BD51" s="325"/>
      <c r="BE51" s="325" t="str">
        <f>IF(ISBLANK(T18),"N/A",IF(ROUND(BE49,0)&lt;ROUND(BE50,0),"11&lt;30",IF(OR(ISBLANK(T20),ISBLANK(T21),ISBLANK(T22),ISBLANK(T23),ISBLANK(T24)),"N/A",IF(ROUND(BE49,0)=ROUND(BE50,0),"ok","&lt;&gt;"))))</f>
        <v>N/A</v>
      </c>
      <c r="BF51" s="325"/>
      <c r="BG51" s="325" t="str">
        <f>IF(ISBLANK(V18),"N/A",IF(ROUND(BG49,0)&lt;ROUND(BG50,0),"11&lt;30",IF(OR(ISBLANK(V20),ISBLANK(V21),ISBLANK(V22),ISBLANK(V23),ISBLANK(V24)),"N/A",IF(ROUND(BG49,0)=ROUND(BG50,0),"ok","&lt;&gt;"))))</f>
        <v>N/A</v>
      </c>
      <c r="BH51" s="325"/>
      <c r="BI51" s="325" t="str">
        <f>IF(ISBLANK(X18),"N/A",IF(ROUND(BI49,0)&lt;ROUND(BI50,0),"11&lt;30",IF(OR(ISBLANK(X20),ISBLANK(X21),ISBLANK(X22),ISBLANK(X23),ISBLANK(X24)),"N/A",IF(ROUND(BI49,0)=ROUND(BI50,0),"ok","&lt;&gt;"))))</f>
        <v>N/A</v>
      </c>
      <c r="BJ51" s="325"/>
      <c r="BK51" s="325" t="str">
        <f>IF(ISBLANK(Z18),"N/A",IF(ROUND(BK49,0)&lt;ROUND(BK50,0),"11&lt;30",IF(OR(ISBLANK(Z20),ISBLANK(Z21),ISBLANK(Z22),ISBLANK(Z23),ISBLANK(Z24)),"N/A",IF(ROUND(BK49,0)=ROUND(BK50,0),"ok","&lt;&gt;"))))</f>
        <v>N/A</v>
      </c>
      <c r="BL51" s="325"/>
      <c r="BM51" s="325" t="str">
        <f>IF(ISBLANK(AB18),"N/A",IF(ROUND(BM49,0)&lt;ROUND(BM50,0),"11&lt;30",IF(OR(ISBLANK(AB20),ISBLANK(AB21),ISBLANK(AB22),ISBLANK(AB23),ISBLANK(AB24)),"N/A",IF(ROUND(BM49,0)=ROUND(BM50,0),"ok","&lt;&gt;"))))</f>
        <v>N/A</v>
      </c>
      <c r="BN51" s="325"/>
      <c r="BO51" s="325" t="str">
        <f>IF(ISBLANK(AD18),"N/A",IF(ROUND(BO49,0)&lt;ROUND(BO50,0),"11&lt;30",IF(OR(ISBLANK(AD20),ISBLANK(AD21),ISBLANK(AD22),ISBLANK(AD23),ISBLANK(AD24)),"N/A",IF(ROUND(BO49,0)=ROUND(BO50,0),"ok","&lt;&gt;"))))</f>
        <v>N/A</v>
      </c>
      <c r="BP51" s="325"/>
      <c r="BQ51" s="325" t="str">
        <f>IF(ISBLANK(AF18),"N/A",IF(ROUND(BQ49,0)&lt;ROUND(BQ50,0),"11&lt;30",IF(OR(ISBLANK(AF20),ISBLANK(AF21),ISBLANK(AF22),ISBLANK(AF23),ISBLANK(AF24)),"N/A",IF(ROUND(BQ49,0)=ROUND(BQ50,0),"ok","&lt;&gt;"))))</f>
        <v>N/A</v>
      </c>
      <c r="BR51" s="325"/>
      <c r="BS51" s="325" t="str">
        <f>IF(ISBLANK(AH18),"N/A",IF(ROUND(BS49,0)&lt;ROUND(BS50,0),"11&lt;30",IF(OR(ISBLANK(AH20),ISBLANK(AH21),ISBLANK(AH22),ISBLANK(AH23),ISBLANK(AH24)),"N/A",IF(ROUND(BS49,0)=ROUND(BS50,0),"ok","&lt;&gt;"))))</f>
        <v>N/A</v>
      </c>
      <c r="BT51" s="325"/>
      <c r="BU51" s="325" t="str">
        <f>IF(ISBLANK(AJ18),"N/A",IF(ROUND(BU49,0)&lt;ROUND(BU50,0),"11&lt;30",IF(OR(ISBLANK(AJ20),ISBLANK(AJ21),ISBLANK(AJ22),ISBLANK(AJ23),ISBLANK(AJ24)),"N/A",IF(ROUND(BU49,0)=ROUND(BU50,0),"ok","&lt;&gt;"))))</f>
        <v>N/A</v>
      </c>
      <c r="BV51" s="313"/>
    </row>
    <row r="52" spans="3:74" ht="18" customHeight="1">
      <c r="C52" s="522"/>
      <c r="D52" s="691"/>
      <c r="E52" s="692"/>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2"/>
      <c r="AH52" s="227"/>
      <c r="AI52" s="548"/>
      <c r="AJ52" s="227"/>
      <c r="AK52" s="549"/>
      <c r="AL52" s="550"/>
      <c r="AN52" s="59">
        <v>21</v>
      </c>
      <c r="AO52" s="389" t="s">
        <v>665</v>
      </c>
      <c r="AP52" s="310" t="s">
        <v>169</v>
      </c>
      <c r="AQ52" s="331">
        <f>F27</f>
        <v>0</v>
      </c>
      <c r="AR52" s="331"/>
      <c r="AS52" s="331">
        <f aca="true" t="shared" si="52" ref="AS52:BU52">H27</f>
        <v>0</v>
      </c>
      <c r="AT52" s="331"/>
      <c r="AU52" s="331">
        <f t="shared" si="52"/>
        <v>0</v>
      </c>
      <c r="AV52" s="331"/>
      <c r="AW52" s="331">
        <f t="shared" si="52"/>
        <v>0</v>
      </c>
      <c r="AX52" s="331"/>
      <c r="AY52" s="331">
        <f t="shared" si="52"/>
        <v>0</v>
      </c>
      <c r="AZ52" s="331"/>
      <c r="BA52" s="331">
        <f t="shared" si="52"/>
        <v>0</v>
      </c>
      <c r="BB52" s="331"/>
      <c r="BC52" s="331">
        <f t="shared" si="52"/>
        <v>0</v>
      </c>
      <c r="BD52" s="331"/>
      <c r="BE52" s="331">
        <f t="shared" si="52"/>
        <v>0</v>
      </c>
      <c r="BF52" s="331"/>
      <c r="BG52" s="331">
        <f t="shared" si="52"/>
        <v>0</v>
      </c>
      <c r="BH52" s="331"/>
      <c r="BI52" s="331">
        <f t="shared" si="52"/>
        <v>0</v>
      </c>
      <c r="BJ52" s="331"/>
      <c r="BK52" s="331">
        <f t="shared" si="52"/>
        <v>0</v>
      </c>
      <c r="BL52" s="331"/>
      <c r="BM52" s="331">
        <f t="shared" si="52"/>
        <v>0</v>
      </c>
      <c r="BN52" s="331"/>
      <c r="BO52" s="331">
        <f t="shared" si="52"/>
        <v>0</v>
      </c>
      <c r="BP52" s="331"/>
      <c r="BQ52" s="331">
        <f t="shared" si="52"/>
        <v>0</v>
      </c>
      <c r="BR52" s="331"/>
      <c r="BS52" s="331">
        <f t="shared" si="52"/>
        <v>0</v>
      </c>
      <c r="BT52" s="331"/>
      <c r="BU52" s="331">
        <f t="shared" si="52"/>
        <v>0</v>
      </c>
      <c r="BV52" s="192"/>
    </row>
    <row r="53" spans="3:74" ht="18" customHeight="1">
      <c r="C53" s="522"/>
      <c r="D53" s="691"/>
      <c r="E53" s="692"/>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c r="AH53" s="227"/>
      <c r="AI53" s="548"/>
      <c r="AJ53" s="227"/>
      <c r="AK53" s="549"/>
      <c r="AL53" s="550"/>
      <c r="AN53" s="476">
        <v>32</v>
      </c>
      <c r="AO53" s="481" t="s">
        <v>580</v>
      </c>
      <c r="AP53" s="310" t="s">
        <v>169</v>
      </c>
      <c r="AQ53" s="325">
        <f>SUM(F29:F34)</f>
        <v>0</v>
      </c>
      <c r="AR53" s="325"/>
      <c r="AS53" s="325">
        <f aca="true" t="shared" si="53" ref="AS53:BU53">SUM(H29:H34)</f>
        <v>0</v>
      </c>
      <c r="AT53" s="325"/>
      <c r="AU53" s="325">
        <f t="shared" si="53"/>
        <v>0</v>
      </c>
      <c r="AV53" s="325"/>
      <c r="AW53" s="325">
        <f t="shared" si="53"/>
        <v>0</v>
      </c>
      <c r="AX53" s="325"/>
      <c r="AY53" s="325">
        <f t="shared" si="53"/>
        <v>0</v>
      </c>
      <c r="AZ53" s="325"/>
      <c r="BA53" s="325">
        <f t="shared" si="53"/>
        <v>0</v>
      </c>
      <c r="BB53" s="325"/>
      <c r="BC53" s="325">
        <f t="shared" si="53"/>
        <v>0</v>
      </c>
      <c r="BD53" s="325"/>
      <c r="BE53" s="325">
        <f t="shared" si="53"/>
        <v>0</v>
      </c>
      <c r="BF53" s="325"/>
      <c r="BG53" s="325">
        <f t="shared" si="53"/>
        <v>0</v>
      </c>
      <c r="BH53" s="325"/>
      <c r="BI53" s="325">
        <f t="shared" si="53"/>
        <v>0</v>
      </c>
      <c r="BJ53" s="325"/>
      <c r="BK53" s="325">
        <f t="shared" si="53"/>
        <v>0</v>
      </c>
      <c r="BL53" s="325"/>
      <c r="BM53" s="325">
        <f t="shared" si="53"/>
        <v>0</v>
      </c>
      <c r="BN53" s="325"/>
      <c r="BO53" s="325">
        <f t="shared" si="53"/>
        <v>0</v>
      </c>
      <c r="BP53" s="325"/>
      <c r="BQ53" s="325">
        <f t="shared" si="53"/>
        <v>0</v>
      </c>
      <c r="BR53" s="325"/>
      <c r="BS53" s="325">
        <f t="shared" si="53"/>
        <v>0</v>
      </c>
      <c r="BT53" s="325"/>
      <c r="BU53" s="325">
        <f t="shared" si="53"/>
        <v>0</v>
      </c>
      <c r="BV53" s="313"/>
    </row>
    <row r="54" spans="3:74" ht="18" customHeight="1">
      <c r="C54" s="522"/>
      <c r="D54" s="691"/>
      <c r="E54" s="692"/>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c r="AH54" s="227"/>
      <c r="AI54" s="548"/>
      <c r="AJ54" s="227"/>
      <c r="AK54" s="549"/>
      <c r="AL54" s="550"/>
      <c r="AN54" s="490" t="s">
        <v>677</v>
      </c>
      <c r="AO54" s="541" t="s">
        <v>138</v>
      </c>
      <c r="AP54" s="542"/>
      <c r="AQ54" s="543" t="str">
        <f>IF(ISBLANK(F27),"N/A",IF(ROUND(AQ52,0)&lt;ROUND(AQ53,0),"21&lt;31",IF(OR(ISBLANK(F29),ISBLANK(F30),ISBLANK(F31),ISBLANK(F32),ISBLANK(F33)),"N/A",IF(ROUND(AQ52,0)=ROUND(AQ53,0),"ok","&lt;&gt;"))))</f>
        <v>N/A</v>
      </c>
      <c r="AR54" s="543"/>
      <c r="AS54" s="543" t="str">
        <f>IF(ISBLANK(H27),"N/A",IF(ROUND(AS52,0)&lt;ROUND(AS53,0),"21&lt;31",IF(OR(ISBLANK(H29),ISBLANK(H30),ISBLANK(H31),ISBLANK(H32),ISBLANK(H33)),"N/A",IF(ROUND(AS52,0)=ROUND(AS53,0),"ok","&lt;&gt;"))))</f>
        <v>N/A</v>
      </c>
      <c r="AT54" s="543"/>
      <c r="AU54" s="543" t="str">
        <f>IF(ISBLANK(J27),"N/A",IF(ROUND(AU52,0)&lt;ROUND(AU53,0),"21&lt;31",IF(OR(ISBLANK(J29),ISBLANK(J30),ISBLANK(J31),ISBLANK(J32),ISBLANK(J33)),"N/A",IF(ROUND(AU52,0)=ROUND(AU53,0),"ok","&lt;&gt;"))))</f>
        <v>N/A</v>
      </c>
      <c r="AV54" s="543"/>
      <c r="AW54" s="543" t="str">
        <f>IF(ISBLANK(L27),"N/A",IF(ROUND(AW52,0)&lt;ROUND(AW53,0),"21&lt;31",IF(OR(ISBLANK(L29),ISBLANK(L30),ISBLANK(L31),ISBLANK(L32),ISBLANK(L33)),"N/A",IF(ROUND(AW52,0)=ROUND(AW53,0),"ok","&lt;&gt;"))))</f>
        <v>N/A</v>
      </c>
      <c r="AX54" s="543"/>
      <c r="AY54" s="543" t="str">
        <f>IF(ISBLANK(N27),"N/A",IF(ROUND(AY52,0)&lt;ROUND(AY53,0),"21&lt;31",IF(OR(ISBLANK(N29),ISBLANK(N30),ISBLANK(N31),ISBLANK(N32),ISBLANK(N33)),"N/A",IF(ROUND(AY52,0)=ROUND(AY53,0),"ok","&lt;&gt;"))))</f>
        <v>N/A</v>
      </c>
      <c r="AZ54" s="543"/>
      <c r="BA54" s="543" t="str">
        <f>IF(ISBLANK(P27),"N/A",IF(ROUND(BA52,0)&lt;ROUND(BA53,0),"21&lt;31",IF(OR(ISBLANK(P29),ISBLANK(P30),ISBLANK(P31),ISBLANK(P32),ISBLANK(P33)),"N/A",IF(ROUND(BA52,0)=ROUND(BA53,0),"ok","&lt;&gt;"))))</f>
        <v>N/A</v>
      </c>
      <c r="BB54" s="543"/>
      <c r="BC54" s="543" t="str">
        <f>IF(ISBLANK(R27),"N/A",IF(ROUND(BC52,0)&lt;ROUND(BC53,0),"21&lt;31",IF(OR(ISBLANK(R29),ISBLANK(R30),ISBLANK(R31),ISBLANK(R32),ISBLANK(R33)),"N/A",IF(ROUND(BC52,0)=ROUND(BC53,0),"ok","&lt;&gt;"))))</f>
        <v>N/A</v>
      </c>
      <c r="BD54" s="543"/>
      <c r="BE54" s="543" t="str">
        <f>IF(ISBLANK(T27),"N/A",IF(ROUND(BE52,0)&lt;ROUND(BE53,0),"21&lt;31",IF(OR(ISBLANK(T29),ISBLANK(T30),ISBLANK(T31),ISBLANK(T32),ISBLANK(T33)),"N/A",IF(ROUND(BE52,0)=ROUND(BE53,0),"ok","&lt;&gt;"))))</f>
        <v>N/A</v>
      </c>
      <c r="BF54" s="543"/>
      <c r="BG54" s="543" t="str">
        <f>IF(ISBLANK(V27),"N/A",IF(ROUND(BG52,0)&lt;ROUND(BG53,0),"21&lt;31",IF(OR(ISBLANK(V29),ISBLANK(V30),ISBLANK(V31),ISBLANK(V32),ISBLANK(V33)),"N/A",IF(ROUND(BG52,0)=ROUND(BG53,0),"ok","&lt;&gt;"))))</f>
        <v>N/A</v>
      </c>
      <c r="BH54" s="543"/>
      <c r="BI54" s="543" t="str">
        <f>IF(ISBLANK(X27),"N/A",IF(ROUND(BI52,0)&lt;ROUND(BI53,0),"21&lt;31",IF(OR(ISBLANK(X29),ISBLANK(X30),ISBLANK(X31),ISBLANK(X32),ISBLANK(X33)),"N/A",IF(ROUND(BI52,0)=ROUND(BI53,0),"ok","&lt;&gt;"))))</f>
        <v>N/A</v>
      </c>
      <c r="BJ54" s="543"/>
      <c r="BK54" s="543" t="str">
        <f>IF(ISBLANK(Z27),"N/A",IF(ROUND(BK52,0)&lt;ROUND(BK53,0),"21&lt;31",IF(OR(ISBLANK(Z29),ISBLANK(Z30),ISBLANK(Z31),ISBLANK(Z32),ISBLANK(Z33)),"N/A",IF(ROUND(BK52,0)=ROUND(BK53,0),"ok","&lt;&gt;"))))</f>
        <v>N/A</v>
      </c>
      <c r="BL54" s="543"/>
      <c r="BM54" s="543" t="str">
        <f>IF(ISBLANK(AB27),"N/A",IF(ROUND(BM52,0)&lt;ROUND(BM53,0),"21&lt;31",IF(OR(ISBLANK(AB29),ISBLANK(AB30),ISBLANK(AB31),ISBLANK(AB32),ISBLANK(AB33)),"N/A",IF(ROUND(BM52,0)=ROUND(BM53,0),"ok","&lt;&gt;"))))</f>
        <v>N/A</v>
      </c>
      <c r="BN54" s="543"/>
      <c r="BO54" s="543" t="str">
        <f>IF(ISBLANK(AD27),"N/A",IF(ROUND(BO52,0)&lt;ROUND(BO53,0),"21&lt;31",IF(OR(ISBLANK(AD29),ISBLANK(AD30),ISBLANK(AD31),ISBLANK(AD32),ISBLANK(AD33)),"N/A",IF(ROUND(BO52,0)=ROUND(BO53,0),"ok","&lt;&gt;"))))</f>
        <v>N/A</v>
      </c>
      <c r="BP54" s="543"/>
      <c r="BQ54" s="543" t="str">
        <f>IF(ISBLANK(AF27),"N/A",IF(ROUND(BQ52,0)&lt;ROUND(BQ53,0),"21&lt;31",IF(OR(ISBLANK(AF29),ISBLANK(AF30),ISBLANK(AF31),ISBLANK(AF32),ISBLANK(AF33)),"N/A",IF(ROUND(BQ52,0)=ROUND(BQ53,0),"ok","&lt;&gt;"))))</f>
        <v>N/A</v>
      </c>
      <c r="BR54" s="543"/>
      <c r="BS54" s="543" t="str">
        <f>IF(ISBLANK(AH27),"N/A",IF(ROUND(BS52,0)&lt;ROUND(BS53,0),"21&lt;31",IF(OR(ISBLANK(AH29),ISBLANK(AH30),ISBLANK(AH31),ISBLANK(AH32),ISBLANK(AH33)),"N/A",IF(ROUND(BS52,0)=ROUND(BS53,0),"ok","&lt;&gt;"))))</f>
        <v>N/A</v>
      </c>
      <c r="BT54" s="543"/>
      <c r="BU54" s="543" t="str">
        <f>IF(ISBLANK(AJ27),"N/A",IF(ROUND(BU52,0)&lt;ROUND(BU53,0),"21&lt;31",IF(OR(ISBLANK(AJ29),ISBLANK(AJ30),ISBLANK(AJ31),ISBLANK(AJ32),ISBLANK(AJ33)),"N/A",IF(ROUND(BU52,0)=ROUND(BU53,0),"ok","&lt;&gt;"))))</f>
        <v>N/A</v>
      </c>
      <c r="BV54" s="543"/>
    </row>
    <row r="55" spans="3:74" ht="18" customHeight="1">
      <c r="C55" s="522"/>
      <c r="D55" s="691"/>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c r="AH55" s="227"/>
      <c r="AI55" s="548"/>
      <c r="AJ55" s="227"/>
      <c r="AK55" s="549"/>
      <c r="AL55" s="550"/>
      <c r="AN55" s="468" t="s">
        <v>677</v>
      </c>
      <c r="AO55" s="467" t="s">
        <v>495</v>
      </c>
      <c r="AP55" s="60"/>
      <c r="AQ55" s="331" t="str">
        <f aca="true" t="shared" si="54" ref="AQ55:AQ60">IF(OR(ISBLANK(F11),ISBLANK(F20),ISBLANK(F29)),"N/A",IF(ROUND(F11,0)=ROUND(F20+F29,0),"ok","&lt;&gt;"))</f>
        <v>N/A</v>
      </c>
      <c r="AR55" s="331"/>
      <c r="AS55" s="331" t="str">
        <f aca="true" t="shared" si="55" ref="AS55:AS60">IF(OR(ISBLANK(H11),ISBLANK(H20),ISBLANK(H29)),"N/A",IF(ROUND(H11,0)=ROUND(H20+H29,0),"ok","&lt;&gt;"))</f>
        <v>N/A</v>
      </c>
      <c r="AT55" s="331"/>
      <c r="AU55" s="331" t="str">
        <f aca="true" t="shared" si="56" ref="AU55:AU60">IF(OR(ISBLANK(J11),ISBLANK(J20),ISBLANK(J29)),"N/A",IF(ROUND(J11,0)=ROUND(J20+J29,0),"ok","&lt;&gt;"))</f>
        <v>N/A</v>
      </c>
      <c r="AV55" s="331"/>
      <c r="AW55" s="331" t="str">
        <f aca="true" t="shared" si="57" ref="AW55:AW60">IF(OR(ISBLANK(L11),ISBLANK(L20),ISBLANK(L29)),"N/A",IF(ROUND(L11,0)=ROUND(L20+L29,0),"ok","&lt;&gt;"))</f>
        <v>N/A</v>
      </c>
      <c r="AX55" s="331"/>
      <c r="AY55" s="331" t="str">
        <f aca="true" t="shared" si="58" ref="AY55:AY60">IF(OR(ISBLANK(N11),ISBLANK(N20),ISBLANK(N29)),"N/A",IF(ROUND(N11,0)=ROUND(N20+N29,0),"ok","&lt;&gt;"))</f>
        <v>N/A</v>
      </c>
      <c r="AZ55" s="331"/>
      <c r="BA55" s="331" t="str">
        <f aca="true" t="shared" si="59" ref="BA55:BA60">IF(OR(ISBLANK(P11),ISBLANK(P20),ISBLANK(P29)),"N/A",IF(ROUND(P11,0)=ROUND(P20+P29,0),"ok","&lt;&gt;"))</f>
        <v>N/A</v>
      </c>
      <c r="BB55" s="331"/>
      <c r="BC55" s="331" t="str">
        <f aca="true" t="shared" si="60" ref="BC55:BC60">IF(OR(ISBLANK(R11),ISBLANK(R20),ISBLANK(R29)),"N/A",IF(ROUND(R11,0)=ROUND(R20+R29,0),"ok","&lt;&gt;"))</f>
        <v>N/A</v>
      </c>
      <c r="BD55" s="331"/>
      <c r="BE55" s="331" t="str">
        <f aca="true" t="shared" si="61" ref="BE55:BE60">IF(OR(ISBLANK(T11),ISBLANK(T20),ISBLANK(T29)),"N/A",IF(ROUND(T11,0)=ROUND(T20+T29,0),"ok","&lt;&gt;"))</f>
        <v>N/A</v>
      </c>
      <c r="BF55" s="331"/>
      <c r="BG55" s="331" t="str">
        <f aca="true" t="shared" si="62" ref="BG55:BG60">IF(OR(ISBLANK(V11),ISBLANK(V20),ISBLANK(V29)),"N/A",IF(ROUND(V11,0)=ROUND(V20+V29,0),"ok","&lt;&gt;"))</f>
        <v>N/A</v>
      </c>
      <c r="BH55" s="331"/>
      <c r="BI55" s="331" t="str">
        <f aca="true" t="shared" si="63" ref="BI55:BI60">IF(OR(ISBLANK(X11),ISBLANK(X20),ISBLANK(X29)),"N/A",IF(ROUND(X11,0)=ROUND(X20+X29,0),"ok","&lt;&gt;"))</f>
        <v>N/A</v>
      </c>
      <c r="BJ55" s="331"/>
      <c r="BK55" s="331" t="str">
        <f aca="true" t="shared" si="64" ref="BK55:BK60">IF(OR(ISBLANK(Z11),ISBLANK(Z20),ISBLANK(Z29)),"N/A",IF(ROUND(Z11,0)=ROUND(Z20+Z29,0),"ok","&lt;&gt;"))</f>
        <v>N/A</v>
      </c>
      <c r="BL55" s="331"/>
      <c r="BM55" s="331" t="str">
        <f aca="true" t="shared" si="65" ref="BM55:BM60">IF(OR(ISBLANK(AB11),ISBLANK(AB20),ISBLANK(AB29)),"N/A",IF(ROUND(AB11,0)=ROUND(AB20+AB29,0),"ok","&lt;&gt;"))</f>
        <v>N/A</v>
      </c>
      <c r="BN55" s="331"/>
      <c r="BO55" s="331" t="str">
        <f aca="true" t="shared" si="66" ref="BO55:BO60">IF(OR(ISBLANK(AD11),ISBLANK(AD20),ISBLANK(AD29)),"N/A",IF(ROUND(AD11,0)=ROUND(AD20+AD29,0),"ok","&lt;&gt;"))</f>
        <v>N/A</v>
      </c>
      <c r="BP55" s="331"/>
      <c r="BQ55" s="331" t="str">
        <f aca="true" t="shared" si="67" ref="BQ55:BQ60">IF(OR(ISBLANK(AF11),ISBLANK(AF20),ISBLANK(AF29)),"N/A",IF(ROUND(AF11,0)=ROUND(AF20+AF29,0),"ok","&lt;&gt;"))</f>
        <v>N/A</v>
      </c>
      <c r="BR55" s="331"/>
      <c r="BS55" s="331" t="str">
        <f aca="true" t="shared" si="68" ref="BS55:BS60">IF(OR(ISBLANK(AH11),ISBLANK(AH20),ISBLANK(AH29)),"N/A",IF(ROUND(AH11,0)=ROUND(AH20+AH29,0),"ok","&lt;&gt;"))</f>
        <v>N/A</v>
      </c>
      <c r="BT55" s="331"/>
      <c r="BU55" s="331" t="str">
        <f aca="true" t="shared" si="69" ref="BU55:BU60">IF(OR(ISBLANK(AJ11),ISBLANK(AJ20),ISBLANK(AJ29)),"N/A",IF(ROUND(AJ11,0)=ROUND(AJ20+AJ29,0),"ok","&lt;&gt;"))</f>
        <v>N/A</v>
      </c>
      <c r="BV55" s="331"/>
    </row>
    <row r="56" spans="3:74" ht="18" customHeight="1">
      <c r="C56" s="522"/>
      <c r="D56" s="691"/>
      <c r="E56" s="692"/>
      <c r="F56" s="692"/>
      <c r="G56" s="692"/>
      <c r="H56" s="692"/>
      <c r="I56" s="692"/>
      <c r="J56" s="692"/>
      <c r="K56" s="692"/>
      <c r="L56" s="692"/>
      <c r="M56" s="692"/>
      <c r="N56" s="692"/>
      <c r="O56" s="692"/>
      <c r="P56" s="692"/>
      <c r="Q56" s="692"/>
      <c r="R56" s="692"/>
      <c r="S56" s="692"/>
      <c r="T56" s="692"/>
      <c r="U56" s="692"/>
      <c r="V56" s="692"/>
      <c r="W56" s="692"/>
      <c r="X56" s="692"/>
      <c r="Y56" s="692"/>
      <c r="Z56" s="692"/>
      <c r="AA56" s="692"/>
      <c r="AB56" s="692"/>
      <c r="AC56" s="692"/>
      <c r="AD56" s="692"/>
      <c r="AE56" s="692"/>
      <c r="AF56" s="692"/>
      <c r="AG56" s="692"/>
      <c r="AH56" s="227"/>
      <c r="AI56" s="548"/>
      <c r="AJ56" s="227"/>
      <c r="AK56" s="549"/>
      <c r="AL56" s="550"/>
      <c r="AN56" s="468" t="s">
        <v>677</v>
      </c>
      <c r="AO56" s="481" t="s">
        <v>496</v>
      </c>
      <c r="AP56" s="310"/>
      <c r="AQ56" s="325" t="str">
        <f t="shared" si="54"/>
        <v>N/A</v>
      </c>
      <c r="AR56" s="325"/>
      <c r="AS56" s="325" t="str">
        <f t="shared" si="55"/>
        <v>N/A</v>
      </c>
      <c r="AT56" s="325"/>
      <c r="AU56" s="325" t="str">
        <f t="shared" si="56"/>
        <v>N/A</v>
      </c>
      <c r="AV56" s="325"/>
      <c r="AW56" s="325" t="str">
        <f t="shared" si="57"/>
        <v>N/A</v>
      </c>
      <c r="AX56" s="325"/>
      <c r="AY56" s="325" t="str">
        <f t="shared" si="58"/>
        <v>N/A</v>
      </c>
      <c r="AZ56" s="325"/>
      <c r="BA56" s="325" t="str">
        <f t="shared" si="59"/>
        <v>N/A</v>
      </c>
      <c r="BB56" s="325"/>
      <c r="BC56" s="325" t="str">
        <f t="shared" si="60"/>
        <v>N/A</v>
      </c>
      <c r="BD56" s="325"/>
      <c r="BE56" s="325" t="str">
        <f t="shared" si="61"/>
        <v>N/A</v>
      </c>
      <c r="BF56" s="325"/>
      <c r="BG56" s="325" t="str">
        <f t="shared" si="62"/>
        <v>N/A</v>
      </c>
      <c r="BH56" s="325"/>
      <c r="BI56" s="325" t="str">
        <f t="shared" si="63"/>
        <v>N/A</v>
      </c>
      <c r="BJ56" s="325"/>
      <c r="BK56" s="325" t="str">
        <f t="shared" si="64"/>
        <v>N/A</v>
      </c>
      <c r="BL56" s="325"/>
      <c r="BM56" s="325" t="str">
        <f t="shared" si="65"/>
        <v>N/A</v>
      </c>
      <c r="BN56" s="325"/>
      <c r="BO56" s="325" t="str">
        <f t="shared" si="66"/>
        <v>N/A</v>
      </c>
      <c r="BP56" s="325"/>
      <c r="BQ56" s="325" t="str">
        <f t="shared" si="67"/>
        <v>N/A</v>
      </c>
      <c r="BR56" s="325"/>
      <c r="BS56" s="325" t="str">
        <f t="shared" si="68"/>
        <v>N/A</v>
      </c>
      <c r="BT56" s="325"/>
      <c r="BU56" s="325" t="str">
        <f t="shared" si="69"/>
        <v>N/A</v>
      </c>
      <c r="BV56" s="325"/>
    </row>
    <row r="57" spans="3:74" ht="18" customHeight="1">
      <c r="C57" s="522"/>
      <c r="D57" s="691"/>
      <c r="E57" s="692"/>
      <c r="F57" s="692"/>
      <c r="G57" s="692"/>
      <c r="H57" s="692"/>
      <c r="I57" s="692"/>
      <c r="J57" s="692"/>
      <c r="K57" s="692"/>
      <c r="L57" s="692"/>
      <c r="M57" s="692"/>
      <c r="N57" s="692"/>
      <c r="O57" s="692"/>
      <c r="P57" s="692"/>
      <c r="Q57" s="692"/>
      <c r="R57" s="692"/>
      <c r="S57" s="692"/>
      <c r="T57" s="692"/>
      <c r="U57" s="692"/>
      <c r="V57" s="692"/>
      <c r="W57" s="692"/>
      <c r="X57" s="692"/>
      <c r="Y57" s="692"/>
      <c r="Z57" s="692"/>
      <c r="AA57" s="692"/>
      <c r="AB57" s="692"/>
      <c r="AC57" s="692"/>
      <c r="AD57" s="692"/>
      <c r="AE57" s="692"/>
      <c r="AF57" s="692"/>
      <c r="AG57" s="692"/>
      <c r="AH57" s="227"/>
      <c r="AI57" s="548"/>
      <c r="AJ57" s="227"/>
      <c r="AK57" s="549"/>
      <c r="AL57" s="550"/>
      <c r="AN57" s="468" t="s">
        <v>677</v>
      </c>
      <c r="AO57" s="467" t="s">
        <v>500</v>
      </c>
      <c r="AP57" s="310"/>
      <c r="AQ57" s="325" t="str">
        <f t="shared" si="54"/>
        <v>N/A</v>
      </c>
      <c r="AR57" s="325"/>
      <c r="AS57" s="325" t="str">
        <f t="shared" si="55"/>
        <v>N/A</v>
      </c>
      <c r="AT57" s="325"/>
      <c r="AU57" s="325" t="str">
        <f t="shared" si="56"/>
        <v>N/A</v>
      </c>
      <c r="AV57" s="325"/>
      <c r="AW57" s="325" t="str">
        <f t="shared" si="57"/>
        <v>N/A</v>
      </c>
      <c r="AX57" s="325"/>
      <c r="AY57" s="325" t="str">
        <f t="shared" si="58"/>
        <v>N/A</v>
      </c>
      <c r="AZ57" s="325"/>
      <c r="BA57" s="325" t="str">
        <f t="shared" si="59"/>
        <v>N/A</v>
      </c>
      <c r="BB57" s="325"/>
      <c r="BC57" s="325" t="str">
        <f t="shared" si="60"/>
        <v>N/A</v>
      </c>
      <c r="BD57" s="325"/>
      <c r="BE57" s="325" t="str">
        <f t="shared" si="61"/>
        <v>N/A</v>
      </c>
      <c r="BF57" s="325"/>
      <c r="BG57" s="325" t="str">
        <f t="shared" si="62"/>
        <v>N/A</v>
      </c>
      <c r="BH57" s="325"/>
      <c r="BI57" s="325" t="str">
        <f t="shared" si="63"/>
        <v>N/A</v>
      </c>
      <c r="BJ57" s="325"/>
      <c r="BK57" s="325" t="str">
        <f t="shared" si="64"/>
        <v>N/A</v>
      </c>
      <c r="BL57" s="325"/>
      <c r="BM57" s="325" t="str">
        <f t="shared" si="65"/>
        <v>N/A</v>
      </c>
      <c r="BN57" s="325"/>
      <c r="BO57" s="325" t="str">
        <f t="shared" si="66"/>
        <v>N/A</v>
      </c>
      <c r="BP57" s="325"/>
      <c r="BQ57" s="325" t="str">
        <f t="shared" si="67"/>
        <v>N/A</v>
      </c>
      <c r="BR57" s="325"/>
      <c r="BS57" s="325" t="str">
        <f t="shared" si="68"/>
        <v>N/A</v>
      </c>
      <c r="BT57" s="325"/>
      <c r="BU57" s="325" t="str">
        <f t="shared" si="69"/>
        <v>N/A</v>
      </c>
      <c r="BV57" s="325"/>
    </row>
    <row r="58" spans="3:74" ht="18" customHeight="1">
      <c r="C58" s="522"/>
      <c r="D58" s="691"/>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227"/>
      <c r="AI58" s="548"/>
      <c r="AJ58" s="227"/>
      <c r="AK58" s="549"/>
      <c r="AL58" s="550"/>
      <c r="AN58" s="468" t="s">
        <v>677</v>
      </c>
      <c r="AO58" s="481" t="s">
        <v>497</v>
      </c>
      <c r="AP58" s="310"/>
      <c r="AQ58" s="325" t="str">
        <f t="shared" si="54"/>
        <v>N/A</v>
      </c>
      <c r="AR58" s="325"/>
      <c r="AS58" s="325" t="str">
        <f t="shared" si="55"/>
        <v>N/A</v>
      </c>
      <c r="AT58" s="325"/>
      <c r="AU58" s="325" t="str">
        <f t="shared" si="56"/>
        <v>N/A</v>
      </c>
      <c r="AV58" s="325"/>
      <c r="AW58" s="325" t="str">
        <f t="shared" si="57"/>
        <v>N/A</v>
      </c>
      <c r="AX58" s="325"/>
      <c r="AY58" s="325" t="str">
        <f t="shared" si="58"/>
        <v>N/A</v>
      </c>
      <c r="AZ58" s="325"/>
      <c r="BA58" s="325" t="str">
        <f t="shared" si="59"/>
        <v>N/A</v>
      </c>
      <c r="BB58" s="325"/>
      <c r="BC58" s="325" t="str">
        <f t="shared" si="60"/>
        <v>N/A</v>
      </c>
      <c r="BD58" s="325"/>
      <c r="BE58" s="325" t="str">
        <f t="shared" si="61"/>
        <v>N/A</v>
      </c>
      <c r="BF58" s="325"/>
      <c r="BG58" s="325" t="str">
        <f t="shared" si="62"/>
        <v>N/A</v>
      </c>
      <c r="BH58" s="325"/>
      <c r="BI58" s="325" t="str">
        <f t="shared" si="63"/>
        <v>N/A</v>
      </c>
      <c r="BJ58" s="325"/>
      <c r="BK58" s="325" t="str">
        <f t="shared" si="64"/>
        <v>N/A</v>
      </c>
      <c r="BL58" s="325"/>
      <c r="BM58" s="325" t="str">
        <f t="shared" si="65"/>
        <v>N/A</v>
      </c>
      <c r="BN58" s="325"/>
      <c r="BO58" s="325" t="str">
        <f t="shared" si="66"/>
        <v>N/A</v>
      </c>
      <c r="BP58" s="325"/>
      <c r="BQ58" s="325" t="str">
        <f t="shared" si="67"/>
        <v>N/A</v>
      </c>
      <c r="BR58" s="325"/>
      <c r="BS58" s="325" t="str">
        <f t="shared" si="68"/>
        <v>N/A</v>
      </c>
      <c r="BT58" s="325"/>
      <c r="BU58" s="325" t="str">
        <f t="shared" si="69"/>
        <v>N/A</v>
      </c>
      <c r="BV58" s="325"/>
    </row>
    <row r="59" spans="3:74" ht="20.25" customHeight="1">
      <c r="C59" s="522"/>
      <c r="D59" s="691"/>
      <c r="E59" s="692"/>
      <c r="F59" s="692"/>
      <c r="G59" s="692"/>
      <c r="H59" s="692"/>
      <c r="I59" s="692"/>
      <c r="J59" s="692"/>
      <c r="K59" s="692"/>
      <c r="L59" s="692"/>
      <c r="M59" s="692"/>
      <c r="N59" s="692"/>
      <c r="O59" s="692"/>
      <c r="P59" s="692"/>
      <c r="Q59" s="692"/>
      <c r="R59" s="692"/>
      <c r="S59" s="692"/>
      <c r="T59" s="692"/>
      <c r="U59" s="692"/>
      <c r="V59" s="692"/>
      <c r="W59" s="692"/>
      <c r="X59" s="692"/>
      <c r="Y59" s="692"/>
      <c r="Z59" s="692"/>
      <c r="AA59" s="692"/>
      <c r="AB59" s="692"/>
      <c r="AC59" s="692"/>
      <c r="AD59" s="692"/>
      <c r="AE59" s="692"/>
      <c r="AF59" s="692"/>
      <c r="AG59" s="692"/>
      <c r="AH59" s="227"/>
      <c r="AI59" s="548"/>
      <c r="AJ59" s="227"/>
      <c r="AK59" s="549"/>
      <c r="AL59" s="550"/>
      <c r="AN59" s="468" t="s">
        <v>677</v>
      </c>
      <c r="AO59" s="467" t="s">
        <v>498</v>
      </c>
      <c r="AP59" s="310"/>
      <c r="AQ59" s="325" t="str">
        <f t="shared" si="54"/>
        <v>N/A</v>
      </c>
      <c r="AR59" s="325"/>
      <c r="AS59" s="325" t="str">
        <f t="shared" si="55"/>
        <v>N/A</v>
      </c>
      <c r="AT59" s="325"/>
      <c r="AU59" s="325" t="str">
        <f t="shared" si="56"/>
        <v>N/A</v>
      </c>
      <c r="AV59" s="325"/>
      <c r="AW59" s="325" t="str">
        <f t="shared" si="57"/>
        <v>N/A</v>
      </c>
      <c r="AX59" s="325"/>
      <c r="AY59" s="325" t="str">
        <f t="shared" si="58"/>
        <v>N/A</v>
      </c>
      <c r="AZ59" s="325"/>
      <c r="BA59" s="325" t="str">
        <f t="shared" si="59"/>
        <v>N/A</v>
      </c>
      <c r="BB59" s="325"/>
      <c r="BC59" s="325" t="str">
        <f t="shared" si="60"/>
        <v>N/A</v>
      </c>
      <c r="BD59" s="325"/>
      <c r="BE59" s="325" t="str">
        <f t="shared" si="61"/>
        <v>N/A</v>
      </c>
      <c r="BF59" s="325"/>
      <c r="BG59" s="325" t="str">
        <f t="shared" si="62"/>
        <v>N/A</v>
      </c>
      <c r="BH59" s="325"/>
      <c r="BI59" s="325" t="str">
        <f t="shared" si="63"/>
        <v>N/A</v>
      </c>
      <c r="BJ59" s="325"/>
      <c r="BK59" s="325" t="str">
        <f t="shared" si="64"/>
        <v>N/A</v>
      </c>
      <c r="BL59" s="325"/>
      <c r="BM59" s="325" t="str">
        <f t="shared" si="65"/>
        <v>N/A</v>
      </c>
      <c r="BN59" s="325"/>
      <c r="BO59" s="325" t="str">
        <f t="shared" si="66"/>
        <v>N/A</v>
      </c>
      <c r="BP59" s="325"/>
      <c r="BQ59" s="325" t="str">
        <f t="shared" si="67"/>
        <v>N/A</v>
      </c>
      <c r="BR59" s="325"/>
      <c r="BS59" s="325" t="str">
        <f t="shared" si="68"/>
        <v>N/A</v>
      </c>
      <c r="BT59" s="325"/>
      <c r="BU59" s="325" t="str">
        <f t="shared" si="69"/>
        <v>N/A</v>
      </c>
      <c r="BV59" s="325"/>
    </row>
    <row r="60" spans="3:74" ht="18" customHeight="1">
      <c r="C60" s="522"/>
      <c r="D60" s="691"/>
      <c r="E60" s="692"/>
      <c r="F60" s="692"/>
      <c r="G60" s="692"/>
      <c r="H60" s="692"/>
      <c r="I60" s="692"/>
      <c r="J60" s="692"/>
      <c r="K60" s="692"/>
      <c r="L60" s="692"/>
      <c r="M60" s="692"/>
      <c r="N60" s="692"/>
      <c r="O60" s="692"/>
      <c r="P60" s="692"/>
      <c r="Q60" s="692"/>
      <c r="R60" s="692"/>
      <c r="S60" s="692"/>
      <c r="T60" s="692"/>
      <c r="U60" s="692"/>
      <c r="V60" s="692"/>
      <c r="W60" s="692"/>
      <c r="X60" s="692"/>
      <c r="Y60" s="692"/>
      <c r="Z60" s="692"/>
      <c r="AA60" s="692"/>
      <c r="AB60" s="692"/>
      <c r="AC60" s="692"/>
      <c r="AD60" s="692"/>
      <c r="AE60" s="692"/>
      <c r="AF60" s="692"/>
      <c r="AG60" s="692"/>
      <c r="AH60" s="227"/>
      <c r="AI60" s="548"/>
      <c r="AJ60" s="227"/>
      <c r="AK60" s="549"/>
      <c r="AL60" s="550"/>
      <c r="AN60" s="483" t="s">
        <v>677</v>
      </c>
      <c r="AO60" s="482" t="s">
        <v>499</v>
      </c>
      <c r="AP60" s="491"/>
      <c r="AQ60" s="441" t="str">
        <f t="shared" si="54"/>
        <v>N/A</v>
      </c>
      <c r="AR60" s="441"/>
      <c r="AS60" s="441" t="str">
        <f t="shared" si="55"/>
        <v>N/A</v>
      </c>
      <c r="AT60" s="441"/>
      <c r="AU60" s="441" t="str">
        <f t="shared" si="56"/>
        <v>N/A</v>
      </c>
      <c r="AV60" s="441"/>
      <c r="AW60" s="441" t="str">
        <f t="shared" si="57"/>
        <v>N/A</v>
      </c>
      <c r="AX60" s="441"/>
      <c r="AY60" s="441" t="str">
        <f t="shared" si="58"/>
        <v>N/A</v>
      </c>
      <c r="AZ60" s="441"/>
      <c r="BA60" s="441" t="str">
        <f t="shared" si="59"/>
        <v>N/A</v>
      </c>
      <c r="BB60" s="441"/>
      <c r="BC60" s="441" t="str">
        <f t="shared" si="60"/>
        <v>N/A</v>
      </c>
      <c r="BD60" s="441"/>
      <c r="BE60" s="441" t="str">
        <f t="shared" si="61"/>
        <v>N/A</v>
      </c>
      <c r="BF60" s="441"/>
      <c r="BG60" s="441" t="str">
        <f t="shared" si="62"/>
        <v>N/A</v>
      </c>
      <c r="BH60" s="441"/>
      <c r="BI60" s="441" t="str">
        <f t="shared" si="63"/>
        <v>N/A</v>
      </c>
      <c r="BJ60" s="441"/>
      <c r="BK60" s="441" t="str">
        <f t="shared" si="64"/>
        <v>N/A</v>
      </c>
      <c r="BL60" s="441"/>
      <c r="BM60" s="441" t="str">
        <f t="shared" si="65"/>
        <v>N/A</v>
      </c>
      <c r="BN60" s="441"/>
      <c r="BO60" s="441" t="str">
        <f t="shared" si="66"/>
        <v>N/A</v>
      </c>
      <c r="BP60" s="441"/>
      <c r="BQ60" s="441" t="str">
        <f t="shared" si="67"/>
        <v>N/A</v>
      </c>
      <c r="BR60" s="441"/>
      <c r="BS60" s="441" t="str">
        <f t="shared" si="68"/>
        <v>N/A</v>
      </c>
      <c r="BT60" s="441"/>
      <c r="BU60" s="441" t="str">
        <f t="shared" si="69"/>
        <v>N/A</v>
      </c>
      <c r="BV60" s="441"/>
    </row>
    <row r="61" spans="3:38" ht="18" customHeight="1">
      <c r="C61" s="522"/>
      <c r="D61" s="691"/>
      <c r="E61" s="692"/>
      <c r="F61" s="692"/>
      <c r="G61" s="692"/>
      <c r="H61" s="692"/>
      <c r="I61" s="692"/>
      <c r="J61" s="692"/>
      <c r="K61" s="692"/>
      <c r="L61" s="692"/>
      <c r="M61" s="692"/>
      <c r="N61" s="692"/>
      <c r="O61" s="692"/>
      <c r="P61" s="692"/>
      <c r="Q61" s="692"/>
      <c r="R61" s="692"/>
      <c r="S61" s="692"/>
      <c r="T61" s="692"/>
      <c r="U61" s="692"/>
      <c r="V61" s="692"/>
      <c r="W61" s="692"/>
      <c r="X61" s="692"/>
      <c r="Y61" s="692"/>
      <c r="Z61" s="692"/>
      <c r="AA61" s="692"/>
      <c r="AB61" s="692"/>
      <c r="AC61" s="692"/>
      <c r="AD61" s="692"/>
      <c r="AE61" s="692"/>
      <c r="AF61" s="692"/>
      <c r="AG61" s="692"/>
      <c r="AH61" s="227"/>
      <c r="AI61" s="548"/>
      <c r="AJ61" s="227"/>
      <c r="AK61" s="549"/>
      <c r="AL61" s="550"/>
    </row>
    <row r="62" spans="3:41" ht="18" customHeight="1">
      <c r="C62" s="522"/>
      <c r="D62" s="691"/>
      <c r="E62" s="692"/>
      <c r="F62" s="692"/>
      <c r="G62" s="692"/>
      <c r="H62" s="692"/>
      <c r="I62" s="692"/>
      <c r="J62" s="692"/>
      <c r="K62" s="692"/>
      <c r="L62" s="692"/>
      <c r="M62" s="692"/>
      <c r="N62" s="692"/>
      <c r="O62" s="692"/>
      <c r="P62" s="692"/>
      <c r="Q62" s="692"/>
      <c r="R62" s="692"/>
      <c r="S62" s="692"/>
      <c r="T62" s="692"/>
      <c r="U62" s="692"/>
      <c r="V62" s="692"/>
      <c r="W62" s="692"/>
      <c r="X62" s="692"/>
      <c r="Y62" s="692"/>
      <c r="Z62" s="692"/>
      <c r="AA62" s="692"/>
      <c r="AB62" s="692"/>
      <c r="AC62" s="692"/>
      <c r="AD62" s="692"/>
      <c r="AE62" s="692"/>
      <c r="AF62" s="692"/>
      <c r="AG62" s="692"/>
      <c r="AH62" s="227"/>
      <c r="AI62" s="548"/>
      <c r="AJ62" s="227"/>
      <c r="AK62" s="549"/>
      <c r="AL62" s="550"/>
      <c r="AN62" s="449" t="s">
        <v>616</v>
      </c>
      <c r="AO62" s="478" t="s">
        <v>617</v>
      </c>
    </row>
    <row r="63" spans="3:41" ht="18" customHeight="1">
      <c r="C63" s="522"/>
      <c r="D63" s="691"/>
      <c r="E63" s="692"/>
      <c r="F63" s="692"/>
      <c r="G63" s="692"/>
      <c r="H63" s="692"/>
      <c r="I63" s="692"/>
      <c r="J63" s="692"/>
      <c r="K63" s="692"/>
      <c r="L63" s="692"/>
      <c r="M63" s="692"/>
      <c r="N63" s="692"/>
      <c r="O63" s="692"/>
      <c r="P63" s="692"/>
      <c r="Q63" s="692"/>
      <c r="R63" s="692"/>
      <c r="S63" s="692"/>
      <c r="T63" s="692"/>
      <c r="U63" s="692"/>
      <c r="V63" s="692"/>
      <c r="W63" s="692"/>
      <c r="X63" s="692"/>
      <c r="Y63" s="692"/>
      <c r="Z63" s="692"/>
      <c r="AA63" s="692"/>
      <c r="AB63" s="692"/>
      <c r="AC63" s="692"/>
      <c r="AD63" s="692"/>
      <c r="AE63" s="692"/>
      <c r="AF63" s="692"/>
      <c r="AG63" s="692"/>
      <c r="AH63" s="227"/>
      <c r="AI63" s="548"/>
      <c r="AJ63" s="227"/>
      <c r="AK63" s="549"/>
      <c r="AL63" s="550"/>
      <c r="AN63" s="449" t="s">
        <v>618</v>
      </c>
      <c r="AO63" s="478" t="s">
        <v>619</v>
      </c>
    </row>
    <row r="64" spans="3:41" ht="18" customHeight="1">
      <c r="C64" s="522"/>
      <c r="D64" s="691"/>
      <c r="E64" s="692"/>
      <c r="F64" s="692"/>
      <c r="G64" s="692"/>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227"/>
      <c r="AI64" s="548"/>
      <c r="AJ64" s="227"/>
      <c r="AK64" s="549"/>
      <c r="AL64" s="550"/>
      <c r="AN64" s="449" t="s">
        <v>621</v>
      </c>
      <c r="AO64" s="478" t="s">
        <v>623</v>
      </c>
    </row>
    <row r="65" spans="3:41" ht="18" customHeight="1">
      <c r="C65" s="522"/>
      <c r="D65" s="691"/>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227"/>
      <c r="AI65" s="548"/>
      <c r="AJ65" s="227"/>
      <c r="AK65" s="549"/>
      <c r="AL65" s="550"/>
      <c r="AN65" s="451" t="s">
        <v>620</v>
      </c>
      <c r="AO65" s="478" t="s">
        <v>533</v>
      </c>
    </row>
    <row r="66" spans="3:74" ht="18" customHeight="1">
      <c r="C66" s="523"/>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227"/>
      <c r="AI66" s="548"/>
      <c r="AJ66" s="227"/>
      <c r="AK66" s="549"/>
      <c r="AL66" s="550"/>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c r="BP66" s="358"/>
      <c r="BQ66" s="358"/>
      <c r="BR66" s="358"/>
      <c r="BS66" s="358"/>
      <c r="BT66" s="358"/>
      <c r="BU66" s="358"/>
      <c r="BV66" s="358"/>
    </row>
    <row r="67" spans="3:74" ht="18" customHeight="1">
      <c r="C67" s="524"/>
      <c r="D67" s="697"/>
      <c r="E67" s="698"/>
      <c r="F67" s="698"/>
      <c r="G67" s="698"/>
      <c r="H67" s="698"/>
      <c r="I67" s="698"/>
      <c r="J67" s="698"/>
      <c r="K67" s="698"/>
      <c r="L67" s="698"/>
      <c r="M67" s="698"/>
      <c r="N67" s="698"/>
      <c r="O67" s="698"/>
      <c r="P67" s="698"/>
      <c r="Q67" s="698"/>
      <c r="R67" s="698"/>
      <c r="S67" s="698"/>
      <c r="T67" s="698"/>
      <c r="U67" s="698"/>
      <c r="V67" s="698"/>
      <c r="W67" s="698"/>
      <c r="X67" s="698"/>
      <c r="Y67" s="698"/>
      <c r="Z67" s="698"/>
      <c r="AA67" s="698"/>
      <c r="AB67" s="698"/>
      <c r="AC67" s="698"/>
      <c r="AD67" s="698"/>
      <c r="AE67" s="698"/>
      <c r="AF67" s="698"/>
      <c r="AG67" s="698"/>
      <c r="AH67" s="698"/>
      <c r="AI67" s="551"/>
      <c r="AJ67" s="552"/>
      <c r="AK67" s="553"/>
      <c r="AL67" s="554"/>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c r="BP67" s="358"/>
      <c r="BQ67" s="358"/>
      <c r="BR67" s="358"/>
      <c r="BS67" s="358"/>
      <c r="BT67" s="358"/>
      <c r="BU67" s="358"/>
      <c r="BV67" s="358"/>
    </row>
    <row r="68" spans="1:88" s="219" customFormat="1" ht="10.5" customHeight="1">
      <c r="A68" s="407"/>
      <c r="B68" s="408"/>
      <c r="C68" s="50"/>
      <c r="D68" s="50"/>
      <c r="E68" s="50"/>
      <c r="F68" s="218"/>
      <c r="G68" s="161"/>
      <c r="H68" s="177"/>
      <c r="I68" s="165"/>
      <c r="J68" s="177"/>
      <c r="K68" s="165"/>
      <c r="L68" s="177"/>
      <c r="M68" s="165"/>
      <c r="N68" s="177"/>
      <c r="O68" s="165"/>
      <c r="P68" s="177"/>
      <c r="Q68" s="161"/>
      <c r="R68" s="177"/>
      <c r="S68" s="161"/>
      <c r="T68" s="177"/>
      <c r="U68" s="161"/>
      <c r="V68" s="177"/>
      <c r="W68" s="161"/>
      <c r="X68" s="177"/>
      <c r="Y68" s="161"/>
      <c r="Z68" s="191"/>
      <c r="AA68" s="161"/>
      <c r="AB68" s="177"/>
      <c r="AC68" s="165"/>
      <c r="AD68" s="177"/>
      <c r="AE68" s="161"/>
      <c r="AF68" s="177"/>
      <c r="AG68" s="161"/>
      <c r="AH68" s="183"/>
      <c r="AI68" s="163"/>
      <c r="AJ68" s="183"/>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c r="BV68" s="358"/>
      <c r="BW68" s="358"/>
      <c r="BX68" s="358"/>
      <c r="BY68" s="358"/>
      <c r="BZ68" s="358"/>
      <c r="CA68" s="358"/>
      <c r="CB68" s="358"/>
      <c r="CC68" s="358"/>
      <c r="CD68" s="358"/>
      <c r="CE68" s="358"/>
      <c r="CF68" s="358"/>
      <c r="CG68" s="358"/>
      <c r="CH68" s="358"/>
      <c r="CI68" s="358"/>
      <c r="CJ68" s="358"/>
    </row>
    <row r="69" spans="1:88" s="219" customFormat="1" ht="12.75">
      <c r="A69" s="407"/>
      <c r="B69" s="408"/>
      <c r="C69" s="50"/>
      <c r="D69" s="50"/>
      <c r="E69" s="50"/>
      <c r="F69" s="218"/>
      <c r="G69" s="161"/>
      <c r="H69" s="177"/>
      <c r="I69" s="165"/>
      <c r="J69" s="177"/>
      <c r="K69" s="165"/>
      <c r="L69" s="177"/>
      <c r="M69" s="165"/>
      <c r="N69" s="177"/>
      <c r="O69" s="165"/>
      <c r="P69" s="177"/>
      <c r="Q69" s="161"/>
      <c r="R69" s="177"/>
      <c r="S69" s="161"/>
      <c r="T69" s="177"/>
      <c r="U69" s="161"/>
      <c r="V69" s="177"/>
      <c r="W69" s="161"/>
      <c r="X69" s="177"/>
      <c r="Y69" s="161"/>
      <c r="Z69" s="177"/>
      <c r="AA69" s="161"/>
      <c r="AB69" s="177"/>
      <c r="AC69" s="165"/>
      <c r="AD69" s="177"/>
      <c r="AE69" s="161"/>
      <c r="AF69" s="177"/>
      <c r="AG69" s="161"/>
      <c r="AH69" s="183"/>
      <c r="AI69" s="163"/>
      <c r="AJ69" s="183"/>
      <c r="AM69" s="358"/>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c r="BR69" s="359"/>
      <c r="BS69" s="359"/>
      <c r="BT69" s="359"/>
      <c r="BU69" s="359"/>
      <c r="BV69" s="359"/>
      <c r="BW69" s="358"/>
      <c r="BX69" s="358"/>
      <c r="BY69" s="358"/>
      <c r="BZ69" s="358"/>
      <c r="CA69" s="358"/>
      <c r="CB69" s="358"/>
      <c r="CC69" s="358"/>
      <c r="CD69" s="358"/>
      <c r="CE69" s="358"/>
      <c r="CF69" s="358"/>
      <c r="CG69" s="358"/>
      <c r="CH69" s="358"/>
      <c r="CI69" s="358"/>
      <c r="CJ69" s="358"/>
    </row>
    <row r="70" spans="1:88" s="219" customFormat="1" ht="12.75">
      <c r="A70" s="407"/>
      <c r="B70" s="408"/>
      <c r="C70" s="50"/>
      <c r="D70" s="50"/>
      <c r="E70" s="50"/>
      <c r="F70" s="50"/>
      <c r="G70" s="161"/>
      <c r="H70" s="177"/>
      <c r="I70" s="165"/>
      <c r="J70" s="177"/>
      <c r="K70" s="165"/>
      <c r="L70" s="177"/>
      <c r="M70" s="165"/>
      <c r="N70" s="177"/>
      <c r="O70" s="165"/>
      <c r="P70" s="177"/>
      <c r="Q70" s="161"/>
      <c r="R70" s="177"/>
      <c r="S70" s="161"/>
      <c r="T70" s="177"/>
      <c r="U70" s="161"/>
      <c r="V70" s="177"/>
      <c r="W70" s="161"/>
      <c r="X70" s="177"/>
      <c r="Y70" s="161"/>
      <c r="Z70" s="177"/>
      <c r="AA70" s="161"/>
      <c r="AB70" s="177"/>
      <c r="AC70" s="165"/>
      <c r="AD70" s="177"/>
      <c r="AE70" s="161"/>
      <c r="AF70" s="177"/>
      <c r="AG70" s="161"/>
      <c r="AH70" s="183"/>
      <c r="AI70" s="163"/>
      <c r="AJ70" s="183"/>
      <c r="AM70" s="358"/>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c r="BO70" s="359"/>
      <c r="BP70" s="359"/>
      <c r="BQ70" s="359"/>
      <c r="BR70" s="359"/>
      <c r="BS70" s="359"/>
      <c r="BT70" s="359"/>
      <c r="BU70" s="359"/>
      <c r="BV70" s="359"/>
      <c r="BW70" s="358"/>
      <c r="BX70" s="358"/>
      <c r="BY70" s="358"/>
      <c r="BZ70" s="358"/>
      <c r="CA70" s="358"/>
      <c r="CB70" s="358"/>
      <c r="CC70" s="358"/>
      <c r="CD70" s="358"/>
      <c r="CE70" s="358"/>
      <c r="CF70" s="358"/>
      <c r="CG70" s="358"/>
      <c r="CH70" s="358"/>
      <c r="CI70" s="358"/>
      <c r="CJ70" s="358"/>
    </row>
    <row r="72" spans="3:33" ht="12.75">
      <c r="C72" s="7"/>
      <c r="D72" s="7"/>
      <c r="E72" s="7"/>
      <c r="F72" s="7"/>
      <c r="G72" s="163"/>
      <c r="H72" s="183"/>
      <c r="I72" s="167"/>
      <c r="J72" s="183"/>
      <c r="K72" s="167"/>
      <c r="L72" s="183"/>
      <c r="M72" s="167"/>
      <c r="N72" s="183"/>
      <c r="O72" s="167"/>
      <c r="P72" s="183"/>
      <c r="Q72" s="163"/>
      <c r="R72" s="183"/>
      <c r="S72" s="163"/>
      <c r="T72" s="183"/>
      <c r="U72" s="163"/>
      <c r="V72" s="183"/>
      <c r="W72" s="163"/>
      <c r="X72" s="183"/>
      <c r="Y72" s="163"/>
      <c r="Z72" s="183"/>
      <c r="AA72" s="163"/>
      <c r="AB72" s="183"/>
      <c r="AC72" s="167"/>
      <c r="AD72" s="183"/>
      <c r="AE72" s="163"/>
      <c r="AF72" s="183"/>
      <c r="AG72" s="163"/>
    </row>
  </sheetData>
  <sheetProtection sheet="1" objects="1" scenarios="1" formatCells="0" formatColumns="0" formatRows="0" insertColumns="0"/>
  <mergeCells count="32">
    <mergeCell ref="D59:AG59"/>
    <mergeCell ref="D60:AG60"/>
    <mergeCell ref="D61:AG61"/>
    <mergeCell ref="D62:AG62"/>
    <mergeCell ref="D67:AH67"/>
    <mergeCell ref="D63:AG63"/>
    <mergeCell ref="D64:AG64"/>
    <mergeCell ref="D65:AG65"/>
    <mergeCell ref="D66:AG66"/>
    <mergeCell ref="D56:AG56"/>
    <mergeCell ref="D57:AG57"/>
    <mergeCell ref="D58:AG58"/>
    <mergeCell ref="C5:AG5"/>
    <mergeCell ref="D46:AL46"/>
    <mergeCell ref="D40:AL40"/>
    <mergeCell ref="D41:AL41"/>
    <mergeCell ref="D37:AL37"/>
    <mergeCell ref="D38:AL38"/>
    <mergeCell ref="D39:AL39"/>
    <mergeCell ref="D52:AG52"/>
    <mergeCell ref="D53:AG53"/>
    <mergeCell ref="D54:AG54"/>
    <mergeCell ref="D55:AG55"/>
    <mergeCell ref="D50:AG50"/>
    <mergeCell ref="D47:AH47"/>
    <mergeCell ref="D48:AH48"/>
    <mergeCell ref="D51:AG51"/>
    <mergeCell ref="AN3:BV3"/>
    <mergeCell ref="AN6:BV6"/>
    <mergeCell ref="AN36:BV36"/>
    <mergeCell ref="D49:AG49"/>
    <mergeCell ref="D45:AL45"/>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F9 N9 AD9 AF9 AH9 AJ9 H9 J9 L9 P9 R9 T9 V9 X9 Z9 AB9">
    <cfRule type="cellIs" priority="2" dxfId="0" operator="lessThan" stopIfTrue="1">
      <formula>F18+F27</formula>
    </cfRule>
    <cfRule type="cellIs" priority="3" dxfId="0" operator="lessThan" stopIfTrue="1">
      <formula>F11+F12+F13+F14+F15+F16</formula>
    </cfRule>
  </conditionalFormatting>
  <conditionalFormatting sqref="F11:F16 AH11:AH16 R11:R16 T11:T16 V11:V16 X11:X16 AB11 AD11:AD16 AF11:AF16 P11:P16 Z11:Z16 AJ11:AJ16 N11:N16 L11:L16 J11:J16 H11:H16">
    <cfRule type="cellIs" priority="4" dxfId="0" operator="lessThan" stopIfTrue="1">
      <formula>F20+F29</formula>
    </cfRule>
  </conditionalFormatting>
  <conditionalFormatting sqref="AQ45:BU45 AQ48:BU48 AQ55:BV60">
    <cfRule type="cellIs" priority="5" dxfId="0" operator="equal" stopIfTrue="1">
      <formula>"&lt;&gt;"</formula>
    </cfRule>
  </conditionalFormatting>
  <conditionalFormatting sqref="AQ54:BV54">
    <cfRule type="cellIs" priority="6" dxfId="0" operator="equal" stopIfTrue="1">
      <formula>"&lt;&gt;"</formula>
    </cfRule>
    <cfRule type="cellIs" priority="7" dxfId="0" operator="equal" stopIfTrue="1">
      <formula>"21&lt;31"</formula>
    </cfRule>
  </conditionalFormatting>
  <conditionalFormatting sqref="AQ51:BU51">
    <cfRule type="cellIs" priority="8" dxfId="0" operator="equal" stopIfTrue="1">
      <formula>"&lt;&gt;"</formula>
    </cfRule>
    <cfRule type="cellIs" priority="9" dxfId="0" operator="equal" stopIfTrue="1">
      <formula>"11&lt;30"</formula>
    </cfRule>
  </conditionalFormatting>
  <conditionalFormatting sqref="AQ43:BU43">
    <cfRule type="cellIs" priority="10" dxfId="0" operator="equal" stopIfTrue="1">
      <formula>"&lt;&gt;"</formula>
    </cfRule>
    <cfRule type="cellIs" priority="11" dxfId="0" operator="equal" stopIfTrue="1">
      <formula>"1&lt;29"</formula>
    </cfRule>
  </conditionalFormatting>
  <conditionalFormatting sqref="AQ41:BU41">
    <cfRule type="cellIs" priority="12" dxfId="0" operator="equal" stopIfTrue="1">
      <formula>"&lt;&gt;"</formula>
    </cfRule>
    <cfRule type="cellIs" priority="13" dxfId="0" operator="equal" stopIfTrue="1">
      <formula>"1&lt;28"</formula>
    </cfRule>
  </conditionalFormatting>
  <printOptions horizontalCentered="1"/>
  <pageMargins left="0.56" right="0.4" top="0.34" bottom="0.39" header="0.18" footer="0.21"/>
  <pageSetup horizontalDpi="600" verticalDpi="600" orientation="landscape" paperSize="9" scale="80" r:id="rId3"/>
  <headerFooter alignWithMargins="0">
    <oddFooter>&amp;C&amp;"Arial,Regular"&amp;8Questionnaire UNSD/PNUE 2010 sur les Statistiques de l’environnement - Section d'eau - p.&amp;P</oddFooter>
  </headerFooter>
  <rowBreaks count="1" manualBreakCount="1">
    <brk id="41" min="2" max="37" man="1"/>
  </rowBreaks>
  <legacyDrawing r:id="rId2"/>
</worksheet>
</file>

<file path=xl/worksheets/sheet7.xml><?xml version="1.0" encoding="utf-8"?>
<worksheet xmlns="http://schemas.openxmlformats.org/spreadsheetml/2006/main" xmlns:r="http://schemas.openxmlformats.org/officeDocument/2006/relationships">
  <sheetPr codeName="Sheet5"/>
  <dimension ref="A1:CK60"/>
  <sheetViews>
    <sheetView showGridLines="0" zoomScale="83" zoomScaleNormal="83" zoomScaleSheetLayoutView="85" workbookViewId="0" topLeftCell="C1">
      <selection activeCell="B6" sqref="B6:D6"/>
    </sheetView>
  </sheetViews>
  <sheetFormatPr defaultColWidth="9.33203125" defaultRowHeight="12.75"/>
  <cols>
    <col min="1" max="1" width="2.33203125" style="399" hidden="1" customWidth="1"/>
    <col min="2" max="2" width="3.66015625" style="398" hidden="1" customWidth="1"/>
    <col min="3" max="3" width="11.16015625" style="50" customWidth="1"/>
    <col min="4" max="4" width="40.83203125" style="50" customWidth="1"/>
    <col min="5" max="5" width="9.16015625" style="50" customWidth="1"/>
    <col min="6" max="6" width="8.66015625" style="50" customWidth="1"/>
    <col min="7" max="7" width="1.83203125" style="161" customWidth="1"/>
    <col min="8" max="8" width="7" style="177" customWidth="1"/>
    <col min="9" max="9" width="1.83203125" style="165" customWidth="1"/>
    <col min="10" max="10" width="7" style="177" hidden="1" customWidth="1"/>
    <col min="11" max="11" width="1.83203125" style="165" hidden="1" customWidth="1"/>
    <col min="12" max="12" width="7" style="177" hidden="1" customWidth="1"/>
    <col min="13" max="13" width="1.83203125" style="165" hidden="1" customWidth="1"/>
    <col min="14" max="14" width="7" style="177" hidden="1" customWidth="1"/>
    <col min="15" max="15" width="1.83203125" style="165" hidden="1" customWidth="1"/>
    <col min="16" max="16" width="7" style="177" hidden="1" customWidth="1"/>
    <col min="17" max="17" width="1.83203125" style="161" hidden="1" customWidth="1"/>
    <col min="18" max="18" width="7" style="177" customWidth="1"/>
    <col min="19" max="19" width="1.83203125" style="161" customWidth="1"/>
    <col min="20" max="20" width="7" style="177" customWidth="1"/>
    <col min="21" max="21" width="1.83203125" style="161" customWidth="1"/>
    <col min="22" max="22" width="7" style="177" customWidth="1"/>
    <col min="23" max="23" width="1.83203125" style="161" customWidth="1"/>
    <col min="24" max="24" width="7" style="177" customWidth="1"/>
    <col min="25" max="25" width="1.83203125" style="161" customWidth="1"/>
    <col min="26" max="26" width="7" style="191" customWidth="1"/>
    <col min="27" max="27" width="1.83203125" style="161" customWidth="1"/>
    <col min="28" max="28" width="7" style="177" customWidth="1"/>
    <col min="29" max="29" width="1.83203125" style="165" customWidth="1"/>
    <col min="30" max="30" width="7" style="177" customWidth="1"/>
    <col min="31" max="31" width="1.83203125" style="161" customWidth="1"/>
    <col min="32" max="32" width="7" style="177" customWidth="1"/>
    <col min="33" max="33" width="1.83203125" style="161" customWidth="1"/>
    <col min="34" max="34" width="7" style="177" customWidth="1"/>
    <col min="35" max="35" width="1.83203125" style="161" customWidth="1"/>
    <col min="36" max="36" width="7" style="177" customWidth="1"/>
    <col min="37" max="38" width="1.83203125" style="215" customWidth="1"/>
    <col min="39" max="39" width="1.83203125" style="359" customWidth="1"/>
    <col min="40" max="40" width="9.33203125" style="359" customWidth="1"/>
    <col min="41" max="41" width="36.16015625" style="359" customWidth="1"/>
    <col min="42" max="43" width="9.33203125" style="359" customWidth="1"/>
    <col min="44" max="44" width="1.83203125" style="359" customWidth="1"/>
    <col min="45" max="45" width="9.33203125" style="359" customWidth="1"/>
    <col min="46" max="46" width="1.83203125" style="359" customWidth="1"/>
    <col min="47" max="47" width="9.33203125" style="359" customWidth="1"/>
    <col min="48" max="48" width="1.83203125" style="359" customWidth="1"/>
    <col min="49" max="49" width="9.33203125" style="359" customWidth="1"/>
    <col min="50" max="50" width="1.83203125" style="359" customWidth="1"/>
    <col min="51" max="51" width="9.33203125" style="359" customWidth="1"/>
    <col min="52" max="52" width="1.83203125" style="359" customWidth="1"/>
    <col min="53" max="53" width="9.33203125" style="359" customWidth="1"/>
    <col min="54" max="54" width="1.83203125" style="359" customWidth="1"/>
    <col min="55" max="55" width="9.33203125" style="359" customWidth="1"/>
    <col min="56" max="56" width="1.83203125" style="359" customWidth="1"/>
    <col min="57" max="57" width="9.33203125" style="359" customWidth="1"/>
    <col min="58" max="58" width="1.83203125" style="359" customWidth="1"/>
    <col min="59" max="59" width="9.33203125" style="359" customWidth="1"/>
    <col min="60" max="60" width="1.83203125" style="359" customWidth="1"/>
    <col min="61" max="61" width="9.33203125" style="359" customWidth="1"/>
    <col min="62" max="62" width="1.83203125" style="359" customWidth="1"/>
    <col min="63" max="63" width="9.33203125" style="359" customWidth="1"/>
    <col min="64" max="64" width="1.83203125" style="359" customWidth="1"/>
    <col min="65" max="65" width="9.33203125" style="359" customWidth="1"/>
    <col min="66" max="66" width="1.83203125" style="359" customWidth="1"/>
    <col min="67" max="67" width="9.33203125" style="359" customWidth="1"/>
    <col min="68" max="68" width="1.83203125" style="359" customWidth="1"/>
    <col min="69" max="69" width="9.33203125" style="359" customWidth="1"/>
    <col min="70" max="70" width="1.83203125" style="359" customWidth="1"/>
    <col min="71" max="71" width="9.33203125" style="359" customWidth="1"/>
    <col min="72" max="72" width="1.83203125" style="359" customWidth="1"/>
    <col min="73" max="73" width="9.33203125" style="359" customWidth="1"/>
    <col min="74" max="74" width="1.83203125" style="359" customWidth="1"/>
    <col min="75" max="16384" width="9.33203125" style="215" customWidth="1"/>
  </cols>
  <sheetData>
    <row r="1" spans="1:74" ht="16.5" customHeight="1">
      <c r="A1" s="397"/>
      <c r="B1" s="398">
        <v>0</v>
      </c>
      <c r="C1" s="113" t="s">
        <v>263</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6"/>
      <c r="AL1" s="236"/>
      <c r="AN1" s="437" t="s">
        <v>52</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1:74" ht="1.5" customHeight="1">
      <c r="A2" s="397"/>
      <c r="C2" s="80"/>
      <c r="D2" s="80"/>
      <c r="E2" s="1"/>
      <c r="F2" s="1"/>
      <c r="G2" s="172"/>
      <c r="H2" s="195"/>
      <c r="I2" s="173"/>
      <c r="J2" s="195"/>
      <c r="K2" s="173"/>
      <c r="L2" s="195"/>
      <c r="M2" s="173"/>
      <c r="N2" s="195"/>
      <c r="O2" s="173"/>
      <c r="P2" s="195"/>
      <c r="Q2" s="163"/>
      <c r="Z2" s="177"/>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7" s="276" customFormat="1" ht="24" customHeight="1">
      <c r="A3" s="400"/>
      <c r="B3" s="400"/>
      <c r="C3" s="127" t="s">
        <v>57</v>
      </c>
      <c r="D3" s="603"/>
      <c r="E3" s="587"/>
      <c r="F3" s="588"/>
      <c r="G3" s="163"/>
      <c r="H3" s="183"/>
      <c r="I3" s="167"/>
      <c r="J3" s="183"/>
      <c r="K3" s="167"/>
      <c r="L3" s="183"/>
      <c r="M3" s="167"/>
      <c r="N3" s="183"/>
      <c r="O3" s="167"/>
      <c r="P3" s="183"/>
      <c r="Q3" s="163"/>
      <c r="R3" s="183"/>
      <c r="S3" s="163"/>
      <c r="T3" s="183"/>
      <c r="U3" s="163"/>
      <c r="V3" s="274"/>
      <c r="W3" s="127" t="s">
        <v>32</v>
      </c>
      <c r="X3" s="188"/>
      <c r="Y3" s="169"/>
      <c r="Z3" s="188"/>
      <c r="AA3" s="171"/>
      <c r="AB3" s="188"/>
      <c r="AC3" s="169"/>
      <c r="AD3" s="188"/>
      <c r="AE3" s="169"/>
      <c r="AF3" s="188"/>
      <c r="AG3" s="169"/>
      <c r="AH3" s="188"/>
      <c r="AI3" s="13"/>
      <c r="AJ3" s="589"/>
      <c r="AK3" s="589"/>
      <c r="AL3" s="555"/>
      <c r="AM3" s="251"/>
      <c r="AN3" s="689" t="s">
        <v>53</v>
      </c>
      <c r="AO3" s="689"/>
      <c r="AP3" s="689"/>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277"/>
      <c r="BX3" s="277"/>
      <c r="BY3" s="277"/>
    </row>
    <row r="4" spans="1:74" ht="3" customHeight="1">
      <c r="A4" s="401"/>
      <c r="C4" s="80"/>
      <c r="D4" s="80"/>
      <c r="E4" s="3"/>
      <c r="F4" s="3"/>
      <c r="Y4" s="163"/>
      <c r="Z4" s="198"/>
      <c r="AA4" s="163"/>
      <c r="AB4" s="183"/>
      <c r="AC4" s="167"/>
      <c r="AD4" s="183"/>
      <c r="AE4" s="225"/>
      <c r="AF4" s="226"/>
      <c r="AG4" s="163"/>
      <c r="AH4" s="183"/>
      <c r="AI4" s="163"/>
      <c r="AK4" s="80"/>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2:74" ht="17.25" customHeight="1">
      <c r="B5" s="398">
        <v>15</v>
      </c>
      <c r="C5" s="682" t="s">
        <v>319</v>
      </c>
      <c r="D5" s="682"/>
      <c r="E5" s="683"/>
      <c r="F5" s="683"/>
      <c r="G5" s="683"/>
      <c r="H5" s="684"/>
      <c r="I5" s="684"/>
      <c r="J5" s="684"/>
      <c r="K5" s="684"/>
      <c r="L5" s="684"/>
      <c r="M5" s="684"/>
      <c r="N5" s="684"/>
      <c r="O5" s="684"/>
      <c r="P5" s="684"/>
      <c r="Q5" s="683"/>
      <c r="R5" s="684"/>
      <c r="S5" s="683"/>
      <c r="T5" s="684"/>
      <c r="U5" s="683"/>
      <c r="V5" s="684"/>
      <c r="W5" s="683"/>
      <c r="X5" s="684"/>
      <c r="Y5" s="683"/>
      <c r="Z5" s="684"/>
      <c r="AA5" s="683"/>
      <c r="AB5" s="684"/>
      <c r="AC5" s="684"/>
      <c r="AD5" s="684"/>
      <c r="AE5" s="683"/>
      <c r="AF5" s="684"/>
      <c r="AG5" s="683"/>
      <c r="AH5" s="194"/>
      <c r="AI5" s="234"/>
      <c r="AJ5" s="194"/>
      <c r="AK5" s="557"/>
      <c r="AL5" s="217"/>
      <c r="AN5" s="480" t="s">
        <v>54</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3:74" ht="22.5" customHeight="1">
      <c r="C6" s="80"/>
      <c r="D6" s="80"/>
      <c r="E6" s="2"/>
      <c r="F6" s="2"/>
      <c r="R6" s="590" t="s">
        <v>34</v>
      </c>
      <c r="T6" s="262"/>
      <c r="U6" s="263"/>
      <c r="V6" s="262"/>
      <c r="W6" s="264"/>
      <c r="X6" s="262"/>
      <c r="Y6" s="264"/>
      <c r="Z6" s="262"/>
      <c r="AA6" s="265"/>
      <c r="AC6" s="161"/>
      <c r="AD6" s="349"/>
      <c r="AE6" s="349"/>
      <c r="AF6" s="349"/>
      <c r="AG6" s="349"/>
      <c r="AH6" s="349"/>
      <c r="AI6" s="349"/>
      <c r="AJ6" s="349"/>
      <c r="AK6" s="350" t="s">
        <v>35</v>
      </c>
      <c r="AL6" s="8"/>
      <c r="AM6" s="374"/>
      <c r="AN6" s="690" t="s">
        <v>80</v>
      </c>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0"/>
      <c r="BU6" s="690"/>
      <c r="BV6" s="690"/>
    </row>
    <row r="7" spans="1:74" s="16" customFormat="1" ht="21" customHeight="1">
      <c r="A7" s="403"/>
      <c r="B7" s="402">
        <v>2</v>
      </c>
      <c r="C7" s="64" t="s">
        <v>36</v>
      </c>
      <c r="D7" s="64" t="s">
        <v>37</v>
      </c>
      <c r="E7" s="63" t="s">
        <v>38</v>
      </c>
      <c r="F7" s="135">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M7" s="375"/>
      <c r="AN7" s="63" t="s">
        <v>157</v>
      </c>
      <c r="AO7" s="63" t="s">
        <v>164</v>
      </c>
      <c r="AP7" s="63" t="s">
        <v>166</v>
      </c>
      <c r="AQ7" s="135">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1:77" s="74" customFormat="1" ht="16.5" customHeight="1">
      <c r="A8" s="403"/>
      <c r="B8" s="425">
        <v>23</v>
      </c>
      <c r="C8" s="78">
        <v>1</v>
      </c>
      <c r="D8" s="216" t="s">
        <v>82</v>
      </c>
      <c r="E8" s="593" t="s">
        <v>40</v>
      </c>
      <c r="F8" s="537"/>
      <c r="G8" s="538"/>
      <c r="H8" s="537"/>
      <c r="I8" s="538"/>
      <c r="J8" s="537"/>
      <c r="K8" s="538"/>
      <c r="L8" s="537"/>
      <c r="M8" s="538"/>
      <c r="N8" s="537"/>
      <c r="O8" s="538"/>
      <c r="P8" s="537"/>
      <c r="Q8" s="538"/>
      <c r="R8" s="537"/>
      <c r="S8" s="538"/>
      <c r="T8" s="537"/>
      <c r="U8" s="538"/>
      <c r="V8" s="537"/>
      <c r="W8" s="538"/>
      <c r="X8" s="537"/>
      <c r="Y8" s="538"/>
      <c r="Z8" s="537"/>
      <c r="AA8" s="538"/>
      <c r="AB8" s="537"/>
      <c r="AC8" s="538"/>
      <c r="AD8" s="537"/>
      <c r="AE8" s="538"/>
      <c r="AF8" s="537"/>
      <c r="AG8" s="538"/>
      <c r="AH8" s="537"/>
      <c r="AI8" s="538"/>
      <c r="AJ8" s="537"/>
      <c r="AK8" s="538"/>
      <c r="AM8" s="375"/>
      <c r="AN8" s="363">
        <v>1</v>
      </c>
      <c r="AO8" s="364" t="s">
        <v>150</v>
      </c>
      <c r="AP8" s="60" t="s">
        <v>169</v>
      </c>
      <c r="AQ8" s="365" t="s">
        <v>644</v>
      </c>
      <c r="AR8" s="366"/>
      <c r="AS8" s="325" t="str">
        <f>IF(OR(ISBLANK(F8),ISBLANK(H8)),"N/A",IF(ABS((H8-F8)/F8)&gt;1,"&gt; 100%","ok"))</f>
        <v>N/A</v>
      </c>
      <c r="AT8" s="366"/>
      <c r="AU8" s="440" t="str">
        <f>IF(OR(ISBLANK(H8),ISBLANK(J8)),"N/A",IF(ABS((J8-H8)/H8)&gt;0.25,"&gt; 25%","ok"))</f>
        <v>N/A</v>
      </c>
      <c r="AV8" s="440"/>
      <c r="AW8" s="440" t="str">
        <f aca="true" t="shared" si="0" ref="AW8:BU8">IF(OR(ISBLANK(J8),ISBLANK(L8)),"N/A",IF(ABS((L8-J8)/J8)&gt;0.25,"&gt; 25%","ok"))</f>
        <v>N/A</v>
      </c>
      <c r="AX8" s="440"/>
      <c r="AY8" s="440" t="str">
        <f t="shared" si="0"/>
        <v>N/A</v>
      </c>
      <c r="AZ8" s="440"/>
      <c r="BA8" s="440" t="str">
        <f t="shared" si="0"/>
        <v>N/A</v>
      </c>
      <c r="BB8" s="440"/>
      <c r="BC8" s="440" t="str">
        <f t="shared" si="0"/>
        <v>N/A</v>
      </c>
      <c r="BD8" s="440"/>
      <c r="BE8" s="440" t="str">
        <f t="shared" si="0"/>
        <v>N/A</v>
      </c>
      <c r="BF8" s="440"/>
      <c r="BG8" s="440" t="str">
        <f t="shared" si="0"/>
        <v>N/A</v>
      </c>
      <c r="BH8" s="440"/>
      <c r="BI8" s="440" t="str">
        <f t="shared" si="0"/>
        <v>N/A</v>
      </c>
      <c r="BJ8" s="440"/>
      <c r="BK8" s="440" t="str">
        <f t="shared" si="0"/>
        <v>N/A</v>
      </c>
      <c r="BL8" s="440"/>
      <c r="BM8" s="440" t="str">
        <f t="shared" si="0"/>
        <v>N/A</v>
      </c>
      <c r="BN8" s="440"/>
      <c r="BO8" s="440" t="str">
        <f t="shared" si="0"/>
        <v>N/A</v>
      </c>
      <c r="BP8" s="440"/>
      <c r="BQ8" s="440" t="str">
        <f t="shared" si="0"/>
        <v>N/A</v>
      </c>
      <c r="BR8" s="440"/>
      <c r="BS8" s="440" t="str">
        <f t="shared" si="0"/>
        <v>N/A</v>
      </c>
      <c r="BT8" s="440"/>
      <c r="BU8" s="440" t="str">
        <f t="shared" si="0"/>
        <v>N/A</v>
      </c>
      <c r="BV8" s="445"/>
      <c r="BW8" s="269"/>
      <c r="BX8" s="356"/>
      <c r="BY8" s="269"/>
    </row>
    <row r="9" spans="1:77" s="11" customFormat="1" ht="22.5">
      <c r="A9" s="442"/>
      <c r="B9" s="425">
        <v>30</v>
      </c>
      <c r="C9" s="25">
        <v>2</v>
      </c>
      <c r="D9" s="106" t="s">
        <v>83</v>
      </c>
      <c r="E9" s="62" t="s">
        <v>40</v>
      </c>
      <c r="F9" s="527"/>
      <c r="G9" s="528"/>
      <c r="H9" s="529"/>
      <c r="I9" s="528"/>
      <c r="J9" s="529"/>
      <c r="K9" s="528"/>
      <c r="L9" s="529"/>
      <c r="M9" s="528"/>
      <c r="N9" s="529"/>
      <c r="O9" s="528"/>
      <c r="P9" s="527"/>
      <c r="Q9" s="528"/>
      <c r="R9" s="527"/>
      <c r="S9" s="528"/>
      <c r="T9" s="527"/>
      <c r="U9" s="528"/>
      <c r="V9" s="527"/>
      <c r="W9" s="528"/>
      <c r="X9" s="527"/>
      <c r="Y9" s="528"/>
      <c r="Z9" s="527"/>
      <c r="AA9" s="528"/>
      <c r="AB9" s="529"/>
      <c r="AC9" s="528"/>
      <c r="AD9" s="527"/>
      <c r="AE9" s="528"/>
      <c r="AF9" s="527"/>
      <c r="AG9" s="528"/>
      <c r="AH9" s="527"/>
      <c r="AI9" s="528"/>
      <c r="AJ9" s="527"/>
      <c r="AK9" s="528"/>
      <c r="AM9" s="376"/>
      <c r="AN9" s="60">
        <v>2</v>
      </c>
      <c r="AO9" s="367" t="s">
        <v>661</v>
      </c>
      <c r="AP9" s="60" t="s">
        <v>169</v>
      </c>
      <c r="AQ9" s="147" t="s">
        <v>644</v>
      </c>
      <c r="AR9" s="192"/>
      <c r="AS9" s="325" t="str">
        <f aca="true" t="shared" si="1" ref="AS9:AS17">IF(OR(ISBLANK(F9),ISBLANK(H9)),"N/A",IF(ABS((H9-F9)/F9)&gt;1,"&gt; 100%","ok"))</f>
        <v>N/A</v>
      </c>
      <c r="AT9" s="192"/>
      <c r="AU9" s="331" t="str">
        <f>IF(OR(ISBLANK(H9),ISBLANK(J9)),"N/A",IF(ABS((J9-H9)/H9)&gt;0.25,"&gt; 25%","ok"))</f>
        <v>N/A</v>
      </c>
      <c r="AV9" s="331"/>
      <c r="AW9" s="331" t="str">
        <f>IF(OR(ISBLANK(J9),ISBLANK(L9)),"N/A",IF(ABS((L9-J9)/J9)&gt;0.25,"&gt; 25%","ok"))</f>
        <v>N/A</v>
      </c>
      <c r="AX9" s="331"/>
      <c r="AY9" s="331" t="str">
        <f>IF(OR(ISBLANK(L9),ISBLANK(N9)),"N/A",IF(ABS((N9-L9)/L9)&gt;0.25,"&gt; 25%","ok"))</f>
        <v>N/A</v>
      </c>
      <c r="AZ9" s="331"/>
      <c r="BA9" s="331" t="str">
        <f>IF(OR(ISBLANK(N9),ISBLANK(P9)),"N/A",IF(ABS((P9-N9)/N9)&gt;0.25,"&gt; 25%","ok"))</f>
        <v>N/A</v>
      </c>
      <c r="BB9" s="331"/>
      <c r="BC9" s="331" t="str">
        <f>IF(OR(ISBLANK(P9),ISBLANK(R9)),"N/A",IF(ABS((R9-P9)/P9)&gt;0.25,"&gt; 25%","ok"))</f>
        <v>N/A</v>
      </c>
      <c r="BD9" s="331"/>
      <c r="BE9" s="331" t="str">
        <f>IF(OR(ISBLANK(R9),ISBLANK(T9)),"N/A",IF(ABS((T9-R9)/R9)&gt;0.25,"&gt; 25%","ok"))</f>
        <v>N/A</v>
      </c>
      <c r="BF9" s="331"/>
      <c r="BG9" s="331" t="str">
        <f>IF(OR(ISBLANK(T9),ISBLANK(V9)),"N/A",IF(ABS((V9-T9)/T9)&gt;0.25,"&gt; 25%","ok"))</f>
        <v>N/A</v>
      </c>
      <c r="BH9" s="331"/>
      <c r="BI9" s="331" t="str">
        <f>IF(OR(ISBLANK(V9),ISBLANK(X9)),"N/A",IF(ABS((X9-V9)/V9)&gt;0.25,"&gt; 25%","ok"))</f>
        <v>N/A</v>
      </c>
      <c r="BJ9" s="331"/>
      <c r="BK9" s="331" t="str">
        <f>IF(OR(ISBLANK(X9),ISBLANK(Z9)),"N/A",IF(ABS((Z9-X9)/X9)&gt;0.25,"&gt; 25%","ok"))</f>
        <v>N/A</v>
      </c>
      <c r="BL9" s="331"/>
      <c r="BM9" s="331" t="str">
        <f>IF(OR(ISBLANK(Z9),ISBLANK(AB9)),"N/A",IF(ABS((AB9-Z9)/Z9)&gt;0.25,"&gt; 25%","ok"))</f>
        <v>N/A</v>
      </c>
      <c r="BN9" s="331"/>
      <c r="BO9" s="331" t="str">
        <f>IF(OR(ISBLANK(AB9),ISBLANK(AD9)),"N/A",IF(ABS((AD9-AB9)/AB9)&gt;0.25,"&gt; 25%","ok"))</f>
        <v>N/A</v>
      </c>
      <c r="BP9" s="331"/>
      <c r="BQ9" s="331" t="str">
        <f>IF(OR(ISBLANK(AD9),ISBLANK(AF9)),"N/A",IF(ABS((AF9-AD9)/AD9)&gt;0.25,"&gt; 25%","ok"))</f>
        <v>N/A</v>
      </c>
      <c r="BR9" s="331"/>
      <c r="BS9" s="331" t="str">
        <f>IF(OR(ISBLANK(AF9),ISBLANK(AH9)),"N/A",IF(ABS((AH9-AF9)/AF9)&gt;0.25,"&gt; 25%","ok"))</f>
        <v>N/A</v>
      </c>
      <c r="BT9" s="331"/>
      <c r="BU9" s="331" t="str">
        <f aca="true" t="shared" si="2" ref="BU9:BU17">IF(OR(ISBLANK(AH9),ISBLANK(AJ9)),"N/A",IF(ABS((AJ9-AH9)/AH9)&gt;0.25,"&gt; 25%","ok"))</f>
        <v>N/A</v>
      </c>
      <c r="BV9" s="446"/>
      <c r="BW9" s="269"/>
      <c r="BX9" s="356"/>
      <c r="BY9" s="269"/>
    </row>
    <row r="10" spans="1:77" s="11" customFormat="1" ht="11.25">
      <c r="A10" s="442" t="s">
        <v>626</v>
      </c>
      <c r="B10" s="425">
        <v>31</v>
      </c>
      <c r="C10" s="78">
        <v>3</v>
      </c>
      <c r="D10" s="594" t="s">
        <v>84</v>
      </c>
      <c r="E10" s="62" t="s">
        <v>40</v>
      </c>
      <c r="F10" s="527"/>
      <c r="G10" s="528"/>
      <c r="H10" s="527"/>
      <c r="I10" s="528"/>
      <c r="J10" s="527"/>
      <c r="K10" s="528"/>
      <c r="L10" s="527"/>
      <c r="M10" s="528"/>
      <c r="N10" s="527"/>
      <c r="O10" s="528"/>
      <c r="P10" s="527"/>
      <c r="Q10" s="528"/>
      <c r="R10" s="527"/>
      <c r="S10" s="528"/>
      <c r="T10" s="527"/>
      <c r="U10" s="528"/>
      <c r="V10" s="527"/>
      <c r="W10" s="528"/>
      <c r="X10" s="527"/>
      <c r="Y10" s="528"/>
      <c r="Z10" s="527"/>
      <c r="AA10" s="528"/>
      <c r="AB10" s="527"/>
      <c r="AC10" s="528"/>
      <c r="AD10" s="527"/>
      <c r="AE10" s="528"/>
      <c r="AF10" s="527"/>
      <c r="AG10" s="528"/>
      <c r="AH10" s="527"/>
      <c r="AI10" s="528"/>
      <c r="AJ10" s="527"/>
      <c r="AK10" s="528"/>
      <c r="AM10" s="376"/>
      <c r="AN10" s="363">
        <v>3</v>
      </c>
      <c r="AO10" s="368" t="s">
        <v>662</v>
      </c>
      <c r="AP10" s="60" t="s">
        <v>169</v>
      </c>
      <c r="AQ10" s="147" t="s">
        <v>644</v>
      </c>
      <c r="AR10" s="192"/>
      <c r="AS10" s="325" t="str">
        <f t="shared" si="1"/>
        <v>N/A</v>
      </c>
      <c r="AT10" s="192"/>
      <c r="AU10" s="331" t="str">
        <f>IF(OR(ISBLANK(H10),ISBLANK(J10)),"N/A",IF(ABS((J10-H10)/H10)&gt;0.25,"&gt; 25%","ok"))</f>
        <v>N/A</v>
      </c>
      <c r="AV10" s="331"/>
      <c r="AW10" s="331" t="str">
        <f aca="true" t="shared" si="3" ref="AW10:AW17">IF(OR(ISBLANK(J10),ISBLANK(L10)),"N/A",IF(ABS((L10-J10)/J10)&gt;0.25,"&gt; 25%","ok"))</f>
        <v>N/A</v>
      </c>
      <c r="AX10" s="331"/>
      <c r="AY10" s="331" t="str">
        <f aca="true" t="shared" si="4" ref="AY10:AY17">IF(OR(ISBLANK(L10),ISBLANK(N10)),"N/A",IF(ABS((N10-L10)/L10)&gt;0.25,"&gt; 25%","ok"))</f>
        <v>N/A</v>
      </c>
      <c r="AZ10" s="331"/>
      <c r="BA10" s="331" t="str">
        <f aca="true" t="shared" si="5" ref="BA10:BA17">IF(OR(ISBLANK(N10),ISBLANK(P10)),"N/A",IF(ABS((P10-N10)/N10)&gt;0.25,"&gt; 25%","ok"))</f>
        <v>N/A</v>
      </c>
      <c r="BB10" s="331"/>
      <c r="BC10" s="331" t="str">
        <f aca="true" t="shared" si="6" ref="BC10:BC17">IF(OR(ISBLANK(P10),ISBLANK(R10)),"N/A",IF(ABS((R10-P10)/P10)&gt;0.25,"&gt; 25%","ok"))</f>
        <v>N/A</v>
      </c>
      <c r="BD10" s="331"/>
      <c r="BE10" s="331" t="str">
        <f aca="true" t="shared" si="7" ref="BE10:BE17">IF(OR(ISBLANK(R10),ISBLANK(T10)),"N/A",IF(ABS((T10-R10)/R10)&gt;0.25,"&gt; 25%","ok"))</f>
        <v>N/A</v>
      </c>
      <c r="BF10" s="331"/>
      <c r="BG10" s="331" t="str">
        <f aca="true" t="shared" si="8" ref="BG10:BG17">IF(OR(ISBLANK(T10),ISBLANK(V10)),"N/A",IF(ABS((V10-T10)/T10)&gt;0.25,"&gt; 25%","ok"))</f>
        <v>N/A</v>
      </c>
      <c r="BH10" s="331"/>
      <c r="BI10" s="331" t="str">
        <f aca="true" t="shared" si="9" ref="BI10:BI17">IF(OR(ISBLANK(V10),ISBLANK(X10)),"N/A",IF(ABS((X10-V10)/V10)&gt;0.25,"&gt; 25%","ok"))</f>
        <v>N/A</v>
      </c>
      <c r="BJ10" s="331"/>
      <c r="BK10" s="331" t="str">
        <f aca="true" t="shared" si="10" ref="BK10:BK17">IF(OR(ISBLANK(X10),ISBLANK(Z10)),"N/A",IF(ABS((Z10-X10)/X10)&gt;0.25,"&gt; 25%","ok"))</f>
        <v>N/A</v>
      </c>
      <c r="BL10" s="331"/>
      <c r="BM10" s="331" t="str">
        <f aca="true" t="shared" si="11" ref="BM10:BM17">IF(OR(ISBLANK(Z10),ISBLANK(AB10)),"N/A",IF(ABS((AB10-Z10)/Z10)&gt;0.25,"&gt; 25%","ok"))</f>
        <v>N/A</v>
      </c>
      <c r="BN10" s="331"/>
      <c r="BO10" s="331" t="str">
        <f aca="true" t="shared" si="12" ref="BO10:BO17">IF(OR(ISBLANK(AB10),ISBLANK(AD10)),"N/A",IF(ABS((AD10-AB10)/AB10)&gt;0.25,"&gt; 25%","ok"))</f>
        <v>N/A</v>
      </c>
      <c r="BP10" s="331"/>
      <c r="BQ10" s="331" t="str">
        <f aca="true" t="shared" si="13" ref="BQ10:BQ17">IF(OR(ISBLANK(AD10),ISBLANK(AF10)),"N/A",IF(ABS((AF10-AD10)/AD10)&gt;0.25,"&gt; 25%","ok"))</f>
        <v>N/A</v>
      </c>
      <c r="BR10" s="331"/>
      <c r="BS10" s="331" t="str">
        <f aca="true" t="shared" si="14" ref="BS10:BS17">IF(OR(ISBLANK(AF10),ISBLANK(AH10)),"N/A",IF(ABS((AH10-AF10)/AF10)&gt;0.25,"&gt; 25%","ok"))</f>
        <v>N/A</v>
      </c>
      <c r="BT10" s="331"/>
      <c r="BU10" s="331" t="str">
        <f t="shared" si="2"/>
        <v>N/A</v>
      </c>
      <c r="BV10" s="446"/>
      <c r="BW10" s="269"/>
      <c r="BX10" s="356"/>
      <c r="BY10" s="269"/>
    </row>
    <row r="11" spans="1:77" s="11" customFormat="1" ht="16.5" customHeight="1">
      <c r="A11" s="442"/>
      <c r="B11" s="425">
        <v>69</v>
      </c>
      <c r="C11" s="25">
        <v>4</v>
      </c>
      <c r="D11" s="96" t="s">
        <v>692</v>
      </c>
      <c r="E11" s="62" t="s">
        <v>40</v>
      </c>
      <c r="F11" s="527"/>
      <c r="G11" s="528"/>
      <c r="H11" s="529"/>
      <c r="I11" s="528"/>
      <c r="J11" s="529"/>
      <c r="K11" s="528"/>
      <c r="L11" s="529"/>
      <c r="M11" s="528"/>
      <c r="N11" s="529"/>
      <c r="O11" s="528"/>
      <c r="P11" s="527"/>
      <c r="Q11" s="528"/>
      <c r="R11" s="527"/>
      <c r="S11" s="528"/>
      <c r="T11" s="527"/>
      <c r="U11" s="528"/>
      <c r="V11" s="527"/>
      <c r="W11" s="528"/>
      <c r="X11" s="527"/>
      <c r="Y11" s="539"/>
      <c r="Z11" s="527"/>
      <c r="AA11" s="528"/>
      <c r="AB11" s="529"/>
      <c r="AC11" s="528"/>
      <c r="AD11" s="527"/>
      <c r="AE11" s="528"/>
      <c r="AF11" s="527"/>
      <c r="AG11" s="528"/>
      <c r="AH11" s="527"/>
      <c r="AI11" s="528"/>
      <c r="AJ11" s="527"/>
      <c r="AK11" s="528"/>
      <c r="AM11" s="376"/>
      <c r="AN11" s="60">
        <v>4</v>
      </c>
      <c r="AO11" s="367" t="s">
        <v>156</v>
      </c>
      <c r="AP11" s="60" t="s">
        <v>169</v>
      </c>
      <c r="AQ11" s="147" t="s">
        <v>644</v>
      </c>
      <c r="AR11" s="192"/>
      <c r="AS11" s="325" t="str">
        <f t="shared" si="1"/>
        <v>N/A</v>
      </c>
      <c r="AT11" s="192"/>
      <c r="AU11" s="331" t="str">
        <f aca="true" t="shared" si="15" ref="AU11:AU17">IF(OR(ISBLANK(H11),ISBLANK(J11)),"N/A",IF(ABS((J11-H11)/H11)&gt;0.25,"&gt; 25%","ok"))</f>
        <v>N/A</v>
      </c>
      <c r="AV11" s="331"/>
      <c r="AW11" s="331" t="str">
        <f t="shared" si="3"/>
        <v>N/A</v>
      </c>
      <c r="AX11" s="331"/>
      <c r="AY11" s="331" t="str">
        <f t="shared" si="4"/>
        <v>N/A</v>
      </c>
      <c r="AZ11" s="331"/>
      <c r="BA11" s="331" t="str">
        <f t="shared" si="5"/>
        <v>N/A</v>
      </c>
      <c r="BB11" s="331"/>
      <c r="BC11" s="331" t="str">
        <f t="shared" si="6"/>
        <v>N/A</v>
      </c>
      <c r="BD11" s="331"/>
      <c r="BE11" s="331" t="str">
        <f t="shared" si="7"/>
        <v>N/A</v>
      </c>
      <c r="BF11" s="331"/>
      <c r="BG11" s="331" t="str">
        <f t="shared" si="8"/>
        <v>N/A</v>
      </c>
      <c r="BH11" s="331"/>
      <c r="BI11" s="331" t="str">
        <f t="shared" si="9"/>
        <v>N/A</v>
      </c>
      <c r="BJ11" s="331"/>
      <c r="BK11" s="331" t="str">
        <f t="shared" si="10"/>
        <v>N/A</v>
      </c>
      <c r="BL11" s="331"/>
      <c r="BM11" s="331" t="str">
        <f t="shared" si="11"/>
        <v>N/A</v>
      </c>
      <c r="BN11" s="331"/>
      <c r="BO11" s="331" t="str">
        <f t="shared" si="12"/>
        <v>N/A</v>
      </c>
      <c r="BP11" s="331"/>
      <c r="BQ11" s="331" t="str">
        <f t="shared" si="13"/>
        <v>N/A</v>
      </c>
      <c r="BR11" s="331"/>
      <c r="BS11" s="331" t="str">
        <f t="shared" si="14"/>
        <v>N/A</v>
      </c>
      <c r="BT11" s="331"/>
      <c r="BU11" s="331" t="str">
        <f t="shared" si="2"/>
        <v>N/A</v>
      </c>
      <c r="BV11" s="446"/>
      <c r="BW11" s="269"/>
      <c r="BX11" s="356"/>
      <c r="BY11" s="269"/>
    </row>
    <row r="12" spans="1:77" s="11" customFormat="1" ht="16.5" customHeight="1">
      <c r="A12" s="442"/>
      <c r="B12" s="425">
        <v>78</v>
      </c>
      <c r="C12" s="25">
        <v>5</v>
      </c>
      <c r="D12" s="96" t="s">
        <v>694</v>
      </c>
      <c r="E12" s="62" t="s">
        <v>40</v>
      </c>
      <c r="F12" s="527"/>
      <c r="G12" s="528"/>
      <c r="H12" s="529"/>
      <c r="I12" s="528"/>
      <c r="J12" s="529"/>
      <c r="K12" s="528"/>
      <c r="L12" s="529"/>
      <c r="M12" s="528"/>
      <c r="N12" s="529"/>
      <c r="O12" s="528"/>
      <c r="P12" s="527"/>
      <c r="Q12" s="528"/>
      <c r="R12" s="527"/>
      <c r="S12" s="528"/>
      <c r="T12" s="527"/>
      <c r="U12" s="528"/>
      <c r="V12" s="527"/>
      <c r="W12" s="528"/>
      <c r="X12" s="527"/>
      <c r="Y12" s="539"/>
      <c r="Z12" s="527"/>
      <c r="AA12" s="528"/>
      <c r="AB12" s="529"/>
      <c r="AC12" s="528"/>
      <c r="AD12" s="527"/>
      <c r="AE12" s="528"/>
      <c r="AF12" s="527"/>
      <c r="AG12" s="528"/>
      <c r="AH12" s="527"/>
      <c r="AI12" s="528"/>
      <c r="AJ12" s="527"/>
      <c r="AK12" s="528"/>
      <c r="AM12" s="376"/>
      <c r="AN12" s="60">
        <v>5</v>
      </c>
      <c r="AO12" s="367" t="s">
        <v>524</v>
      </c>
      <c r="AP12" s="60" t="s">
        <v>169</v>
      </c>
      <c r="AQ12" s="147" t="s">
        <v>644</v>
      </c>
      <c r="AR12" s="192"/>
      <c r="AS12" s="325" t="str">
        <f t="shared" si="1"/>
        <v>N/A</v>
      </c>
      <c r="AT12" s="192"/>
      <c r="AU12" s="331" t="str">
        <f t="shared" si="15"/>
        <v>N/A</v>
      </c>
      <c r="AV12" s="331"/>
      <c r="AW12" s="331" t="str">
        <f t="shared" si="3"/>
        <v>N/A</v>
      </c>
      <c r="AX12" s="331"/>
      <c r="AY12" s="331" t="str">
        <f t="shared" si="4"/>
        <v>N/A</v>
      </c>
      <c r="AZ12" s="331"/>
      <c r="BA12" s="331" t="str">
        <f t="shared" si="5"/>
        <v>N/A</v>
      </c>
      <c r="BB12" s="331"/>
      <c r="BC12" s="331" t="str">
        <f t="shared" si="6"/>
        <v>N/A</v>
      </c>
      <c r="BD12" s="331"/>
      <c r="BE12" s="331" t="str">
        <f t="shared" si="7"/>
        <v>N/A</v>
      </c>
      <c r="BF12" s="331"/>
      <c r="BG12" s="331" t="str">
        <f t="shared" si="8"/>
        <v>N/A</v>
      </c>
      <c r="BH12" s="331"/>
      <c r="BI12" s="331" t="str">
        <f t="shared" si="9"/>
        <v>N/A</v>
      </c>
      <c r="BJ12" s="331"/>
      <c r="BK12" s="331" t="str">
        <f t="shared" si="10"/>
        <v>N/A</v>
      </c>
      <c r="BL12" s="331"/>
      <c r="BM12" s="331" t="str">
        <f t="shared" si="11"/>
        <v>N/A</v>
      </c>
      <c r="BN12" s="331"/>
      <c r="BO12" s="331" t="str">
        <f t="shared" si="12"/>
        <v>N/A</v>
      </c>
      <c r="BP12" s="331"/>
      <c r="BQ12" s="331" t="str">
        <f t="shared" si="13"/>
        <v>N/A</v>
      </c>
      <c r="BR12" s="331"/>
      <c r="BS12" s="331" t="str">
        <f t="shared" si="14"/>
        <v>N/A</v>
      </c>
      <c r="BT12" s="331"/>
      <c r="BU12" s="331" t="str">
        <f t="shared" si="2"/>
        <v>N/A</v>
      </c>
      <c r="BV12" s="446"/>
      <c r="BW12" s="269"/>
      <c r="BX12" s="356"/>
      <c r="BY12" s="269"/>
    </row>
    <row r="13" spans="1:77" s="11" customFormat="1" ht="16.5" customHeight="1">
      <c r="A13" s="442"/>
      <c r="B13" s="425">
        <v>2434</v>
      </c>
      <c r="C13" s="25">
        <v>6</v>
      </c>
      <c r="D13" s="96" t="s">
        <v>696</v>
      </c>
      <c r="E13" s="62" t="s">
        <v>40</v>
      </c>
      <c r="F13" s="527"/>
      <c r="G13" s="528"/>
      <c r="H13" s="529"/>
      <c r="I13" s="528"/>
      <c r="J13" s="529"/>
      <c r="K13" s="528"/>
      <c r="L13" s="529"/>
      <c r="M13" s="528"/>
      <c r="N13" s="529"/>
      <c r="O13" s="528"/>
      <c r="P13" s="527"/>
      <c r="Q13" s="528"/>
      <c r="R13" s="527"/>
      <c r="S13" s="528"/>
      <c r="T13" s="527"/>
      <c r="U13" s="528"/>
      <c r="V13" s="527"/>
      <c r="W13" s="528"/>
      <c r="X13" s="527"/>
      <c r="Y13" s="539"/>
      <c r="Z13" s="527"/>
      <c r="AA13" s="528"/>
      <c r="AB13" s="529"/>
      <c r="AC13" s="528"/>
      <c r="AD13" s="527"/>
      <c r="AE13" s="528"/>
      <c r="AF13" s="527"/>
      <c r="AG13" s="528"/>
      <c r="AH13" s="527"/>
      <c r="AI13" s="528"/>
      <c r="AJ13" s="527"/>
      <c r="AK13" s="528"/>
      <c r="AM13" s="376"/>
      <c r="AN13" s="60">
        <v>6</v>
      </c>
      <c r="AO13" s="367" t="s">
        <v>521</v>
      </c>
      <c r="AP13" s="60" t="s">
        <v>169</v>
      </c>
      <c r="AQ13" s="147" t="s">
        <v>644</v>
      </c>
      <c r="AR13" s="192"/>
      <c r="AS13" s="325" t="str">
        <f t="shared" si="1"/>
        <v>N/A</v>
      </c>
      <c r="AT13" s="192"/>
      <c r="AU13" s="331" t="str">
        <f t="shared" si="15"/>
        <v>N/A</v>
      </c>
      <c r="AV13" s="331"/>
      <c r="AW13" s="331" t="str">
        <f t="shared" si="3"/>
        <v>N/A</v>
      </c>
      <c r="AX13" s="331"/>
      <c r="AY13" s="331" t="str">
        <f t="shared" si="4"/>
        <v>N/A</v>
      </c>
      <c r="AZ13" s="331"/>
      <c r="BA13" s="331" t="str">
        <f t="shared" si="5"/>
        <v>N/A</v>
      </c>
      <c r="BB13" s="331"/>
      <c r="BC13" s="331" t="str">
        <f t="shared" si="6"/>
        <v>N/A</v>
      </c>
      <c r="BD13" s="331"/>
      <c r="BE13" s="331" t="str">
        <f t="shared" si="7"/>
        <v>N/A</v>
      </c>
      <c r="BF13" s="331"/>
      <c r="BG13" s="331" t="str">
        <f t="shared" si="8"/>
        <v>N/A</v>
      </c>
      <c r="BH13" s="331"/>
      <c r="BI13" s="331" t="str">
        <f t="shared" si="9"/>
        <v>N/A</v>
      </c>
      <c r="BJ13" s="331"/>
      <c r="BK13" s="331" t="str">
        <f t="shared" si="10"/>
        <v>N/A</v>
      </c>
      <c r="BL13" s="331"/>
      <c r="BM13" s="331" t="str">
        <f t="shared" si="11"/>
        <v>N/A</v>
      </c>
      <c r="BN13" s="331"/>
      <c r="BO13" s="331" t="str">
        <f t="shared" si="12"/>
        <v>N/A</v>
      </c>
      <c r="BP13" s="331"/>
      <c r="BQ13" s="331" t="str">
        <f t="shared" si="13"/>
        <v>N/A</v>
      </c>
      <c r="BR13" s="331"/>
      <c r="BS13" s="331" t="str">
        <f t="shared" si="14"/>
        <v>N/A</v>
      </c>
      <c r="BT13" s="331"/>
      <c r="BU13" s="331" t="str">
        <f t="shared" si="2"/>
        <v>N/A</v>
      </c>
      <c r="BV13" s="446"/>
      <c r="BW13" s="269"/>
      <c r="BX13" s="356"/>
      <c r="BY13" s="269"/>
    </row>
    <row r="14" spans="1:77" s="11" customFormat="1" ht="16.5" customHeight="1">
      <c r="A14" s="442"/>
      <c r="B14" s="425">
        <v>2435</v>
      </c>
      <c r="C14" s="25">
        <v>7</v>
      </c>
      <c r="D14" s="96" t="s">
        <v>698</v>
      </c>
      <c r="E14" s="62" t="s">
        <v>40</v>
      </c>
      <c r="F14" s="527"/>
      <c r="G14" s="528"/>
      <c r="H14" s="529"/>
      <c r="I14" s="528"/>
      <c r="J14" s="529"/>
      <c r="K14" s="528"/>
      <c r="L14" s="529"/>
      <c r="M14" s="528"/>
      <c r="N14" s="529"/>
      <c r="O14" s="528"/>
      <c r="P14" s="527"/>
      <c r="Q14" s="528"/>
      <c r="R14" s="527"/>
      <c r="S14" s="528"/>
      <c r="T14" s="527"/>
      <c r="U14" s="528"/>
      <c r="V14" s="527"/>
      <c r="W14" s="528"/>
      <c r="X14" s="527"/>
      <c r="Y14" s="539"/>
      <c r="Z14" s="527"/>
      <c r="AA14" s="528"/>
      <c r="AB14" s="529"/>
      <c r="AC14" s="528"/>
      <c r="AD14" s="527"/>
      <c r="AE14" s="528"/>
      <c r="AF14" s="527"/>
      <c r="AG14" s="528"/>
      <c r="AH14" s="527"/>
      <c r="AI14" s="528"/>
      <c r="AJ14" s="527"/>
      <c r="AK14" s="528"/>
      <c r="AM14" s="376"/>
      <c r="AN14" s="60">
        <v>7</v>
      </c>
      <c r="AO14" s="367" t="s">
        <v>522</v>
      </c>
      <c r="AP14" s="60" t="s">
        <v>169</v>
      </c>
      <c r="AQ14" s="147" t="s">
        <v>644</v>
      </c>
      <c r="AR14" s="192"/>
      <c r="AS14" s="325" t="str">
        <f t="shared" si="1"/>
        <v>N/A</v>
      </c>
      <c r="AT14" s="192"/>
      <c r="AU14" s="331" t="str">
        <f t="shared" si="15"/>
        <v>N/A</v>
      </c>
      <c r="AV14" s="331"/>
      <c r="AW14" s="331" t="str">
        <f t="shared" si="3"/>
        <v>N/A</v>
      </c>
      <c r="AX14" s="331"/>
      <c r="AY14" s="331" t="str">
        <f t="shared" si="4"/>
        <v>N/A</v>
      </c>
      <c r="AZ14" s="331"/>
      <c r="BA14" s="331" t="str">
        <f t="shared" si="5"/>
        <v>N/A</v>
      </c>
      <c r="BB14" s="331"/>
      <c r="BC14" s="331" t="str">
        <f t="shared" si="6"/>
        <v>N/A</v>
      </c>
      <c r="BD14" s="331"/>
      <c r="BE14" s="331" t="str">
        <f t="shared" si="7"/>
        <v>N/A</v>
      </c>
      <c r="BF14" s="331"/>
      <c r="BG14" s="331" t="str">
        <f t="shared" si="8"/>
        <v>N/A</v>
      </c>
      <c r="BH14" s="331"/>
      <c r="BI14" s="331" t="str">
        <f t="shared" si="9"/>
        <v>N/A</v>
      </c>
      <c r="BJ14" s="331"/>
      <c r="BK14" s="331" t="str">
        <f t="shared" si="10"/>
        <v>N/A</v>
      </c>
      <c r="BL14" s="331"/>
      <c r="BM14" s="331" t="str">
        <f t="shared" si="11"/>
        <v>N/A</v>
      </c>
      <c r="BN14" s="331"/>
      <c r="BO14" s="331" t="str">
        <f t="shared" si="12"/>
        <v>N/A</v>
      </c>
      <c r="BP14" s="331"/>
      <c r="BQ14" s="331" t="str">
        <f t="shared" si="13"/>
        <v>N/A</v>
      </c>
      <c r="BR14" s="331"/>
      <c r="BS14" s="331" t="str">
        <f t="shared" si="14"/>
        <v>N/A</v>
      </c>
      <c r="BT14" s="331"/>
      <c r="BU14" s="331" t="str">
        <f t="shared" si="2"/>
        <v>N/A</v>
      </c>
      <c r="BV14" s="446"/>
      <c r="BW14" s="269"/>
      <c r="BX14" s="356"/>
      <c r="BY14" s="269"/>
    </row>
    <row r="15" spans="1:77" s="11" customFormat="1" ht="24.75" customHeight="1">
      <c r="A15" s="442" t="s">
        <v>626</v>
      </c>
      <c r="B15" s="425">
        <v>79</v>
      </c>
      <c r="C15" s="25">
        <v>8</v>
      </c>
      <c r="D15" s="83" t="s">
        <v>85</v>
      </c>
      <c r="E15" s="62" t="s">
        <v>40</v>
      </c>
      <c r="F15" s="527"/>
      <c r="G15" s="528"/>
      <c r="H15" s="527"/>
      <c r="I15" s="528"/>
      <c r="J15" s="527"/>
      <c r="K15" s="528"/>
      <c r="L15" s="527"/>
      <c r="M15" s="528"/>
      <c r="N15" s="527"/>
      <c r="O15" s="528"/>
      <c r="P15" s="527"/>
      <c r="Q15" s="528"/>
      <c r="R15" s="527"/>
      <c r="S15" s="528"/>
      <c r="T15" s="527"/>
      <c r="U15" s="528"/>
      <c r="V15" s="527"/>
      <c r="W15" s="528"/>
      <c r="X15" s="527"/>
      <c r="Y15" s="528"/>
      <c r="Z15" s="527"/>
      <c r="AA15" s="528"/>
      <c r="AB15" s="527"/>
      <c r="AC15" s="528"/>
      <c r="AD15" s="527"/>
      <c r="AE15" s="528"/>
      <c r="AF15" s="527"/>
      <c r="AG15" s="528"/>
      <c r="AH15" s="527"/>
      <c r="AI15" s="528"/>
      <c r="AJ15" s="527"/>
      <c r="AK15" s="528"/>
      <c r="AM15" s="376"/>
      <c r="AN15" s="60">
        <v>8</v>
      </c>
      <c r="AO15" s="315" t="s">
        <v>516</v>
      </c>
      <c r="AP15" s="60" t="s">
        <v>169</v>
      </c>
      <c r="AQ15" s="147" t="s">
        <v>644</v>
      </c>
      <c r="AR15" s="192"/>
      <c r="AS15" s="325" t="str">
        <f t="shared" si="1"/>
        <v>N/A</v>
      </c>
      <c r="AT15" s="192"/>
      <c r="AU15" s="331" t="str">
        <f t="shared" si="15"/>
        <v>N/A</v>
      </c>
      <c r="AV15" s="331"/>
      <c r="AW15" s="331" t="str">
        <f t="shared" si="3"/>
        <v>N/A</v>
      </c>
      <c r="AX15" s="331"/>
      <c r="AY15" s="331" t="str">
        <f t="shared" si="4"/>
        <v>N/A</v>
      </c>
      <c r="AZ15" s="331"/>
      <c r="BA15" s="331" t="str">
        <f t="shared" si="5"/>
        <v>N/A</v>
      </c>
      <c r="BB15" s="331"/>
      <c r="BC15" s="331" t="str">
        <f t="shared" si="6"/>
        <v>N/A</v>
      </c>
      <c r="BD15" s="331"/>
      <c r="BE15" s="331" t="str">
        <f t="shared" si="7"/>
        <v>N/A</v>
      </c>
      <c r="BF15" s="331"/>
      <c r="BG15" s="331" t="str">
        <f t="shared" si="8"/>
        <v>N/A</v>
      </c>
      <c r="BH15" s="331"/>
      <c r="BI15" s="331" t="str">
        <f t="shared" si="9"/>
        <v>N/A</v>
      </c>
      <c r="BJ15" s="331"/>
      <c r="BK15" s="331" t="str">
        <f t="shared" si="10"/>
        <v>N/A</v>
      </c>
      <c r="BL15" s="331"/>
      <c r="BM15" s="331" t="str">
        <f t="shared" si="11"/>
        <v>N/A</v>
      </c>
      <c r="BN15" s="331"/>
      <c r="BO15" s="331" t="str">
        <f t="shared" si="12"/>
        <v>N/A</v>
      </c>
      <c r="BP15" s="331"/>
      <c r="BQ15" s="331" t="str">
        <f t="shared" si="13"/>
        <v>N/A</v>
      </c>
      <c r="BR15" s="331"/>
      <c r="BS15" s="331" t="str">
        <f t="shared" si="14"/>
        <v>N/A</v>
      </c>
      <c r="BT15" s="331"/>
      <c r="BU15" s="331" t="str">
        <f t="shared" si="2"/>
        <v>N/A</v>
      </c>
      <c r="BV15" s="446"/>
      <c r="BW15" s="269"/>
      <c r="BX15" s="356"/>
      <c r="BY15" s="269"/>
    </row>
    <row r="16" spans="1:77" s="11" customFormat="1" ht="16.5" customHeight="1">
      <c r="A16" s="442"/>
      <c r="B16" s="425">
        <v>34</v>
      </c>
      <c r="C16" s="25">
        <v>9</v>
      </c>
      <c r="D16" s="95" t="s">
        <v>702</v>
      </c>
      <c r="E16" s="62" t="s">
        <v>40</v>
      </c>
      <c r="F16" s="527"/>
      <c r="G16" s="528"/>
      <c r="H16" s="527"/>
      <c r="I16" s="528"/>
      <c r="J16" s="527"/>
      <c r="K16" s="528"/>
      <c r="L16" s="527"/>
      <c r="M16" s="528"/>
      <c r="N16" s="527"/>
      <c r="O16" s="528"/>
      <c r="P16" s="527"/>
      <c r="Q16" s="528"/>
      <c r="R16" s="527"/>
      <c r="S16" s="528"/>
      <c r="T16" s="527"/>
      <c r="U16" s="528"/>
      <c r="V16" s="527"/>
      <c r="W16" s="528"/>
      <c r="X16" s="527"/>
      <c r="Y16" s="528"/>
      <c r="Z16" s="527"/>
      <c r="AA16" s="528"/>
      <c r="AB16" s="527"/>
      <c r="AC16" s="528"/>
      <c r="AD16" s="527"/>
      <c r="AE16" s="528"/>
      <c r="AF16" s="527"/>
      <c r="AG16" s="528"/>
      <c r="AH16" s="527"/>
      <c r="AI16" s="528"/>
      <c r="AJ16" s="527"/>
      <c r="AK16" s="528"/>
      <c r="AM16" s="376"/>
      <c r="AN16" s="60">
        <v>9</v>
      </c>
      <c r="AO16" s="314" t="s">
        <v>534</v>
      </c>
      <c r="AP16" s="60" t="s">
        <v>169</v>
      </c>
      <c r="AQ16" s="147" t="s">
        <v>644</v>
      </c>
      <c r="AR16" s="192"/>
      <c r="AS16" s="325" t="str">
        <f t="shared" si="1"/>
        <v>N/A</v>
      </c>
      <c r="AT16" s="192"/>
      <c r="AU16" s="331" t="str">
        <f t="shared" si="15"/>
        <v>N/A</v>
      </c>
      <c r="AV16" s="331"/>
      <c r="AW16" s="331" t="str">
        <f t="shared" si="3"/>
        <v>N/A</v>
      </c>
      <c r="AX16" s="331"/>
      <c r="AY16" s="331" t="str">
        <f t="shared" si="4"/>
        <v>N/A</v>
      </c>
      <c r="AZ16" s="331"/>
      <c r="BA16" s="331" t="str">
        <f t="shared" si="5"/>
        <v>N/A</v>
      </c>
      <c r="BB16" s="331"/>
      <c r="BC16" s="331" t="str">
        <f t="shared" si="6"/>
        <v>N/A</v>
      </c>
      <c r="BD16" s="331"/>
      <c r="BE16" s="331" t="str">
        <f t="shared" si="7"/>
        <v>N/A</v>
      </c>
      <c r="BF16" s="331"/>
      <c r="BG16" s="331" t="str">
        <f t="shared" si="8"/>
        <v>N/A</v>
      </c>
      <c r="BH16" s="331"/>
      <c r="BI16" s="331" t="str">
        <f t="shared" si="9"/>
        <v>N/A</v>
      </c>
      <c r="BJ16" s="331"/>
      <c r="BK16" s="331" t="str">
        <f t="shared" si="10"/>
        <v>N/A</v>
      </c>
      <c r="BL16" s="331"/>
      <c r="BM16" s="331" t="str">
        <f t="shared" si="11"/>
        <v>N/A</v>
      </c>
      <c r="BN16" s="331"/>
      <c r="BO16" s="331" t="str">
        <f t="shared" si="12"/>
        <v>N/A</v>
      </c>
      <c r="BP16" s="331"/>
      <c r="BQ16" s="331" t="str">
        <f t="shared" si="13"/>
        <v>N/A</v>
      </c>
      <c r="BR16" s="331"/>
      <c r="BS16" s="331" t="str">
        <f t="shared" si="14"/>
        <v>N/A</v>
      </c>
      <c r="BT16" s="331"/>
      <c r="BU16" s="331" t="str">
        <f t="shared" si="2"/>
        <v>N/A</v>
      </c>
      <c r="BV16" s="446"/>
      <c r="BW16" s="269"/>
      <c r="BX16" s="356"/>
      <c r="BY16" s="269"/>
    </row>
    <row r="17" spans="1:77" ht="23.25" customHeight="1">
      <c r="A17" s="442"/>
      <c r="B17" s="425">
        <v>35</v>
      </c>
      <c r="C17" s="61">
        <v>10</v>
      </c>
      <c r="D17" s="512" t="s">
        <v>86</v>
      </c>
      <c r="E17" s="591" t="s">
        <v>40</v>
      </c>
      <c r="F17" s="536"/>
      <c r="G17" s="534"/>
      <c r="H17" s="536"/>
      <c r="I17" s="534"/>
      <c r="J17" s="536"/>
      <c r="K17" s="534"/>
      <c r="L17" s="536"/>
      <c r="M17" s="534"/>
      <c r="N17" s="536"/>
      <c r="O17" s="534"/>
      <c r="P17" s="536"/>
      <c r="Q17" s="534"/>
      <c r="R17" s="536"/>
      <c r="S17" s="534"/>
      <c r="T17" s="536"/>
      <c r="U17" s="534"/>
      <c r="V17" s="536"/>
      <c r="W17" s="534"/>
      <c r="X17" s="536"/>
      <c r="Y17" s="540"/>
      <c r="Z17" s="536"/>
      <c r="AA17" s="534"/>
      <c r="AB17" s="536"/>
      <c r="AC17" s="534"/>
      <c r="AD17" s="536"/>
      <c r="AE17" s="534"/>
      <c r="AF17" s="536"/>
      <c r="AG17" s="534"/>
      <c r="AH17" s="536"/>
      <c r="AI17" s="534"/>
      <c r="AJ17" s="536"/>
      <c r="AK17" s="534"/>
      <c r="AN17" s="316">
        <v>10</v>
      </c>
      <c r="AO17" s="443" t="s">
        <v>152</v>
      </c>
      <c r="AP17" s="316" t="s">
        <v>169</v>
      </c>
      <c r="AQ17" s="318" t="s">
        <v>644</v>
      </c>
      <c r="AR17" s="319"/>
      <c r="AS17" s="326" t="str">
        <f t="shared" si="1"/>
        <v>N/A</v>
      </c>
      <c r="AT17" s="319"/>
      <c r="AU17" s="326" t="str">
        <f t="shared" si="15"/>
        <v>N/A</v>
      </c>
      <c r="AV17" s="326"/>
      <c r="AW17" s="326" t="str">
        <f t="shared" si="3"/>
        <v>N/A</v>
      </c>
      <c r="AX17" s="326"/>
      <c r="AY17" s="326" t="str">
        <f t="shared" si="4"/>
        <v>N/A</v>
      </c>
      <c r="AZ17" s="326"/>
      <c r="BA17" s="326" t="str">
        <f t="shared" si="5"/>
        <v>N/A</v>
      </c>
      <c r="BB17" s="326"/>
      <c r="BC17" s="326" t="str">
        <f t="shared" si="6"/>
        <v>N/A</v>
      </c>
      <c r="BD17" s="326"/>
      <c r="BE17" s="326" t="str">
        <f t="shared" si="7"/>
        <v>N/A</v>
      </c>
      <c r="BF17" s="326"/>
      <c r="BG17" s="326" t="str">
        <f t="shared" si="8"/>
        <v>N/A</v>
      </c>
      <c r="BH17" s="326"/>
      <c r="BI17" s="326" t="str">
        <f t="shared" si="9"/>
        <v>N/A</v>
      </c>
      <c r="BJ17" s="326"/>
      <c r="BK17" s="326" t="str">
        <f t="shared" si="10"/>
        <v>N/A</v>
      </c>
      <c r="BL17" s="326"/>
      <c r="BM17" s="326" t="str">
        <f t="shared" si="11"/>
        <v>N/A</v>
      </c>
      <c r="BN17" s="326"/>
      <c r="BO17" s="326" t="str">
        <f t="shared" si="12"/>
        <v>N/A</v>
      </c>
      <c r="BP17" s="326"/>
      <c r="BQ17" s="326" t="str">
        <f t="shared" si="13"/>
        <v>N/A</v>
      </c>
      <c r="BR17" s="326"/>
      <c r="BS17" s="326" t="str">
        <f t="shared" si="14"/>
        <v>N/A</v>
      </c>
      <c r="BT17" s="326"/>
      <c r="BU17" s="326" t="str">
        <f t="shared" si="2"/>
        <v>N/A</v>
      </c>
      <c r="BV17" s="448"/>
      <c r="BW17" s="268"/>
      <c r="BX17" s="356"/>
      <c r="BY17" s="268"/>
    </row>
    <row r="18" spans="3:38" ht="12.75" customHeight="1">
      <c r="C18" s="3" t="s">
        <v>87</v>
      </c>
      <c r="D18" s="4"/>
      <c r="E18" s="20"/>
      <c r="F18" s="3"/>
      <c r="AK18" s="80"/>
      <c r="AL18" s="80"/>
    </row>
    <row r="19" spans="3:74" ht="32.25" customHeight="1">
      <c r="C19" s="266" t="s">
        <v>667</v>
      </c>
      <c r="D19" s="685" t="s">
        <v>88</v>
      </c>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377"/>
      <c r="AN19" s="690" t="s">
        <v>81</v>
      </c>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0"/>
      <c r="BU19" s="690"/>
      <c r="BV19" s="690"/>
    </row>
    <row r="20" spans="3:74" ht="21" customHeight="1">
      <c r="C20" s="266" t="s">
        <v>667</v>
      </c>
      <c r="D20" s="685" t="s">
        <v>89</v>
      </c>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377"/>
      <c r="AN20" s="63" t="s">
        <v>157</v>
      </c>
      <c r="AO20" s="63" t="s">
        <v>164</v>
      </c>
      <c r="AP20" s="63" t="s">
        <v>166</v>
      </c>
      <c r="AQ20" s="135">
        <v>1990</v>
      </c>
      <c r="AR20" s="199"/>
      <c r="AS20" s="136">
        <v>1995</v>
      </c>
      <c r="AT20" s="199"/>
      <c r="AU20" s="136">
        <v>1996</v>
      </c>
      <c r="AV20" s="199"/>
      <c r="AW20" s="136">
        <v>1997</v>
      </c>
      <c r="AX20" s="199"/>
      <c r="AY20" s="136">
        <v>1998</v>
      </c>
      <c r="AZ20" s="199"/>
      <c r="BA20" s="136">
        <v>1999</v>
      </c>
      <c r="BB20" s="199"/>
      <c r="BC20" s="136">
        <v>2000</v>
      </c>
      <c r="BD20" s="199"/>
      <c r="BE20" s="136">
        <v>2001</v>
      </c>
      <c r="BF20" s="199"/>
      <c r="BG20" s="136">
        <v>2002</v>
      </c>
      <c r="BH20" s="199"/>
      <c r="BI20" s="136">
        <v>2003</v>
      </c>
      <c r="BJ20" s="199"/>
      <c r="BK20" s="136">
        <v>2004</v>
      </c>
      <c r="BL20" s="199"/>
      <c r="BM20" s="136">
        <v>2005</v>
      </c>
      <c r="BN20" s="199"/>
      <c r="BO20" s="136">
        <v>2006</v>
      </c>
      <c r="BP20" s="199"/>
      <c r="BQ20" s="136">
        <v>2007</v>
      </c>
      <c r="BR20" s="199"/>
      <c r="BS20" s="136">
        <v>2008</v>
      </c>
      <c r="BT20" s="199"/>
      <c r="BU20" s="136">
        <v>2009</v>
      </c>
      <c r="BV20" s="199"/>
    </row>
    <row r="21" spans="3:74" ht="12.75" customHeight="1">
      <c r="C21" s="266" t="s">
        <v>667</v>
      </c>
      <c r="D21" s="669" t="s">
        <v>90</v>
      </c>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372"/>
      <c r="AN21" s="363">
        <v>1</v>
      </c>
      <c r="AO21" s="364" t="s">
        <v>150</v>
      </c>
      <c r="AP21" s="60" t="s">
        <v>169</v>
      </c>
      <c r="AQ21" s="440">
        <f>F8</f>
        <v>0</v>
      </c>
      <c r="AR21" s="440"/>
      <c r="AS21" s="440">
        <f aca="true" t="shared" si="16" ref="AS21:BU21">H8</f>
        <v>0</v>
      </c>
      <c r="AT21" s="440"/>
      <c r="AU21" s="440">
        <f t="shared" si="16"/>
        <v>0</v>
      </c>
      <c r="AV21" s="440"/>
      <c r="AW21" s="440">
        <f t="shared" si="16"/>
        <v>0</v>
      </c>
      <c r="AX21" s="440"/>
      <c r="AY21" s="440">
        <f t="shared" si="16"/>
        <v>0</v>
      </c>
      <c r="AZ21" s="440"/>
      <c r="BA21" s="440">
        <f t="shared" si="16"/>
        <v>0</v>
      </c>
      <c r="BB21" s="440"/>
      <c r="BC21" s="440">
        <f t="shared" si="16"/>
        <v>0</v>
      </c>
      <c r="BD21" s="440"/>
      <c r="BE21" s="440">
        <f t="shared" si="16"/>
        <v>0</v>
      </c>
      <c r="BF21" s="440"/>
      <c r="BG21" s="440">
        <f t="shared" si="16"/>
        <v>0</v>
      </c>
      <c r="BH21" s="440"/>
      <c r="BI21" s="440">
        <f t="shared" si="16"/>
        <v>0</v>
      </c>
      <c r="BJ21" s="440"/>
      <c r="BK21" s="440">
        <f t="shared" si="16"/>
        <v>0</v>
      </c>
      <c r="BL21" s="440"/>
      <c r="BM21" s="440">
        <f t="shared" si="16"/>
        <v>0</v>
      </c>
      <c r="BN21" s="440"/>
      <c r="BO21" s="440">
        <f t="shared" si="16"/>
        <v>0</v>
      </c>
      <c r="BP21" s="440"/>
      <c r="BQ21" s="440">
        <f t="shared" si="16"/>
        <v>0</v>
      </c>
      <c r="BR21" s="440"/>
      <c r="BS21" s="440">
        <f t="shared" si="16"/>
        <v>0</v>
      </c>
      <c r="BT21" s="440"/>
      <c r="BU21" s="440">
        <f t="shared" si="16"/>
        <v>0</v>
      </c>
      <c r="BV21" s="366"/>
    </row>
    <row r="22" spans="1:89" ht="22.5" customHeight="1">
      <c r="A22" s="400"/>
      <c r="B22" s="400"/>
      <c r="C22" s="266" t="s">
        <v>667</v>
      </c>
      <c r="D22" s="669" t="s">
        <v>47</v>
      </c>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372"/>
      <c r="AN22" s="476" t="s">
        <v>610</v>
      </c>
      <c r="AO22" s="481" t="s">
        <v>672</v>
      </c>
      <c r="AP22" s="60" t="s">
        <v>169</v>
      </c>
      <c r="AQ22" s="328">
        <f>'W2'!F9</f>
        <v>0</v>
      </c>
      <c r="AR22" s="328"/>
      <c r="AS22" s="328">
        <f>'W2'!H9</f>
        <v>0</v>
      </c>
      <c r="AT22" s="328"/>
      <c r="AU22" s="328">
        <f>'W2'!J9</f>
        <v>0</v>
      </c>
      <c r="AV22" s="328"/>
      <c r="AW22" s="328">
        <f>'W2'!L9</f>
        <v>0</v>
      </c>
      <c r="AX22" s="328"/>
      <c r="AY22" s="328">
        <f>'W2'!N9</f>
        <v>0</v>
      </c>
      <c r="AZ22" s="328"/>
      <c r="BA22" s="328">
        <f>'W2'!P9</f>
        <v>0</v>
      </c>
      <c r="BB22" s="328"/>
      <c r="BC22" s="328">
        <f>'W2'!R9</f>
        <v>0</v>
      </c>
      <c r="BD22" s="328"/>
      <c r="BE22" s="328">
        <f>'W2'!T9</f>
        <v>0</v>
      </c>
      <c r="BF22" s="328"/>
      <c r="BG22" s="328">
        <f>'W2'!V9</f>
        <v>0</v>
      </c>
      <c r="BH22" s="328"/>
      <c r="BI22" s="328">
        <f>'W2'!X9</f>
        <v>0</v>
      </c>
      <c r="BJ22" s="328"/>
      <c r="BK22" s="328">
        <f>'W2'!Z9</f>
        <v>0</v>
      </c>
      <c r="BL22" s="328"/>
      <c r="BM22" s="328">
        <f>'W2'!AB9</f>
        <v>0</v>
      </c>
      <c r="BN22" s="328"/>
      <c r="BO22" s="328">
        <f>'W2'!AD9</f>
        <v>0</v>
      </c>
      <c r="BP22" s="328"/>
      <c r="BQ22" s="328">
        <f>'W2'!AF9</f>
        <v>0</v>
      </c>
      <c r="BR22" s="328"/>
      <c r="BS22" s="328">
        <f>'W2'!AH9</f>
        <v>0</v>
      </c>
      <c r="BT22" s="328"/>
      <c r="BU22" s="328">
        <f>'W2'!AJ9</f>
        <v>0</v>
      </c>
      <c r="BV22" s="192"/>
      <c r="BW22" s="14"/>
      <c r="BX22" s="14"/>
      <c r="BY22" s="14"/>
      <c r="BZ22" s="14"/>
      <c r="CA22" s="14"/>
      <c r="CB22" s="14"/>
      <c r="CC22" s="14"/>
      <c r="CD22" s="14"/>
      <c r="CE22" s="14"/>
      <c r="CF22" s="14"/>
      <c r="CG22" s="14"/>
      <c r="CH22" s="14"/>
      <c r="CI22" s="14"/>
      <c r="CJ22" s="14"/>
      <c r="CK22" s="14"/>
    </row>
    <row r="23" spans="1:89" ht="24.75" customHeight="1">
      <c r="A23" s="400"/>
      <c r="B23" s="400"/>
      <c r="C23" s="266" t="s">
        <v>667</v>
      </c>
      <c r="D23" s="669" t="s">
        <v>48</v>
      </c>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69"/>
      <c r="AM23" s="372"/>
      <c r="AN23" s="468" t="s">
        <v>677</v>
      </c>
      <c r="AO23" s="481" t="s">
        <v>581</v>
      </c>
      <c r="AP23" s="60"/>
      <c r="AQ23" s="328" t="str">
        <f>IF(OR(ISBLANK(F8),ISBLANK('W2'!F9)),"N/A",IF((ROUND('W3'!AQ21,0)=ROUND('W3'!AQ22,0)),"ok","&lt;&gt;"))</f>
        <v>N/A</v>
      </c>
      <c r="AR23" s="328"/>
      <c r="AS23" s="328" t="str">
        <f>IF(OR(ISBLANK(H8),ISBLANK('W2'!H9)),"N/A",IF((ROUND('W3'!AS21,0)=ROUND('W3'!AS22,0)),"ok","&lt;&gt;"))</f>
        <v>N/A</v>
      </c>
      <c r="AT23" s="328"/>
      <c r="AU23" s="328" t="str">
        <f>IF(OR(ISBLANK(J8),ISBLANK('W2'!J9)),"N/A",IF((ROUND('W3'!AU21,0)=ROUND('W3'!AU22,0)),"ok","&lt;&gt;"))</f>
        <v>N/A</v>
      </c>
      <c r="AV23" s="328"/>
      <c r="AW23" s="328" t="str">
        <f>IF(OR(ISBLANK(L8),ISBLANK('W2'!L9)),"N/A",IF((ROUND('W3'!AW21,0)=ROUND('W3'!AW22,0)),"ok","&lt;&gt;"))</f>
        <v>N/A</v>
      </c>
      <c r="AX23" s="328"/>
      <c r="AY23" s="328" t="str">
        <f>IF(OR(ISBLANK(N8),ISBLANK('W2'!N9)),"N/A",IF((ROUND('W3'!AY21,0)=ROUND('W3'!AY22,0)),"ok","&lt;&gt;"))</f>
        <v>N/A</v>
      </c>
      <c r="AZ23" s="328"/>
      <c r="BA23" s="328" t="str">
        <f>IF(OR(ISBLANK(P8),ISBLANK('W2'!P9)),"N/A",IF((ROUND('W3'!BA21,0)=ROUND('W3'!BA22,0)),"ok","&lt;&gt;"))</f>
        <v>N/A</v>
      </c>
      <c r="BB23" s="328"/>
      <c r="BC23" s="328" t="str">
        <f>IF(OR(ISBLANK(R8),ISBLANK('W2'!R9)),"N/A",IF((ROUND('W3'!BC21,0)=ROUND('W3'!BC22,0)),"ok","&lt;&gt;"))</f>
        <v>N/A</v>
      </c>
      <c r="BD23" s="328"/>
      <c r="BE23" s="328" t="str">
        <f>IF(OR(ISBLANK(T8),ISBLANK('W2'!T9)),"N/A",IF((ROUND('W3'!BE21,0)=ROUND('W3'!BE22,0)),"ok","&lt;&gt;"))</f>
        <v>N/A</v>
      </c>
      <c r="BF23" s="328"/>
      <c r="BG23" s="328" t="str">
        <f>IF(OR(ISBLANK(V8),ISBLANK('W2'!V9)),"N/A",IF((ROUND('W3'!BG21,0)=ROUND('W3'!BG22,0)),"ok","&lt;&gt;"))</f>
        <v>N/A</v>
      </c>
      <c r="BH23" s="328"/>
      <c r="BI23" s="328" t="str">
        <f>IF(OR(ISBLANK(X8),ISBLANK('W2'!X9)),"N/A",IF((ROUND('W3'!BI21,0)=ROUND('W3'!BI22,0)),"ok","&lt;&gt;"))</f>
        <v>N/A</v>
      </c>
      <c r="BJ23" s="328"/>
      <c r="BK23" s="328" t="str">
        <f>IF(OR(ISBLANK(Z8),ISBLANK('W2'!Z9)),"N/A",IF((ROUND('W3'!BK21,0)=ROUND('W3'!BK22,0)),"ok","&lt;&gt;"))</f>
        <v>N/A</v>
      </c>
      <c r="BL23" s="328"/>
      <c r="BM23" s="328" t="str">
        <f>IF(OR(ISBLANK(AB8),ISBLANK('W2'!AB9)),"N/A",IF((ROUND('W3'!BM21,0)=ROUND('W3'!BM22,0)),"ok","&lt;&gt;"))</f>
        <v>N/A</v>
      </c>
      <c r="BN23" s="328"/>
      <c r="BO23" s="328" t="str">
        <f>IF(OR(ISBLANK(AD8),ISBLANK('W2'!AD9)),"N/A",IF((ROUND('W3'!BO21,0)=ROUND('W3'!BO22,0)),"ok","&lt;&gt;"))</f>
        <v>N/A</v>
      </c>
      <c r="BP23" s="328"/>
      <c r="BQ23" s="328" t="str">
        <f>IF(OR(ISBLANK(AF8),ISBLANK('W2'!AF9)),"N/A",IF((ROUND('W3'!BQ21,0)=ROUND('W3'!BQ22,0)),"ok","&lt;&gt;"))</f>
        <v>N/A</v>
      </c>
      <c r="BR23" s="328"/>
      <c r="BS23" s="328" t="str">
        <f>IF(OR(ISBLANK(AH8),ISBLANK('W2'!AH9)),"N/A",IF((ROUND('W3'!BS21,0)=ROUND('W3'!BS22,0)),"ok","&lt;&gt;"))</f>
        <v>N/A</v>
      </c>
      <c r="BT23" s="328"/>
      <c r="BU23" s="328" t="str">
        <f>IF(OR(ISBLANK(AJ8),ISBLANK('W2'!AJ9)),"N/A",IF((ROUND('W3'!BU21,0)=ROUND('W3'!BU22,0)),"ok","&lt;&gt;"))</f>
        <v>N/A</v>
      </c>
      <c r="BV23" s="192"/>
      <c r="BW23" s="14"/>
      <c r="BX23" s="14"/>
      <c r="BY23" s="14"/>
      <c r="BZ23" s="14"/>
      <c r="CA23" s="14"/>
      <c r="CB23" s="14"/>
      <c r="CC23" s="14"/>
      <c r="CD23" s="14"/>
      <c r="CE23" s="14"/>
      <c r="CF23" s="14"/>
      <c r="CG23" s="14"/>
      <c r="CH23" s="14"/>
      <c r="CI23" s="14"/>
      <c r="CJ23" s="14"/>
      <c r="CK23" s="14"/>
    </row>
    <row r="24" spans="1:89" ht="16.5" customHeight="1">
      <c r="A24" s="400"/>
      <c r="B24" s="400"/>
      <c r="C24" s="266" t="s">
        <v>667</v>
      </c>
      <c r="D24" s="669" t="s">
        <v>49</v>
      </c>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69"/>
      <c r="AI24" s="669"/>
      <c r="AJ24" s="669"/>
      <c r="AK24" s="669"/>
      <c r="AL24" s="669"/>
      <c r="AM24" s="372"/>
      <c r="AN24" s="363">
        <v>3</v>
      </c>
      <c r="AO24" s="367" t="s">
        <v>662</v>
      </c>
      <c r="AP24" s="60" t="s">
        <v>169</v>
      </c>
      <c r="AQ24" s="328">
        <f>F10</f>
        <v>0</v>
      </c>
      <c r="AR24" s="328"/>
      <c r="AS24" s="328">
        <f aca="true" t="shared" si="17" ref="AS24:BU24">H10</f>
        <v>0</v>
      </c>
      <c r="AT24" s="328"/>
      <c r="AU24" s="328">
        <f t="shared" si="17"/>
        <v>0</v>
      </c>
      <c r="AV24" s="328"/>
      <c r="AW24" s="328">
        <f t="shared" si="17"/>
        <v>0</v>
      </c>
      <c r="AX24" s="328"/>
      <c r="AY24" s="328">
        <f t="shared" si="17"/>
        <v>0</v>
      </c>
      <c r="AZ24" s="328"/>
      <c r="BA24" s="328">
        <f t="shared" si="17"/>
        <v>0</v>
      </c>
      <c r="BB24" s="328"/>
      <c r="BC24" s="328">
        <f t="shared" si="17"/>
        <v>0</v>
      </c>
      <c r="BD24" s="328"/>
      <c r="BE24" s="328">
        <f t="shared" si="17"/>
        <v>0</v>
      </c>
      <c r="BF24" s="328"/>
      <c r="BG24" s="328">
        <f t="shared" si="17"/>
        <v>0</v>
      </c>
      <c r="BH24" s="328"/>
      <c r="BI24" s="328">
        <f t="shared" si="17"/>
        <v>0</v>
      </c>
      <c r="BJ24" s="328"/>
      <c r="BK24" s="328">
        <f t="shared" si="17"/>
        <v>0</v>
      </c>
      <c r="BL24" s="328"/>
      <c r="BM24" s="328">
        <f t="shared" si="17"/>
        <v>0</v>
      </c>
      <c r="BN24" s="328"/>
      <c r="BO24" s="328">
        <f t="shared" si="17"/>
        <v>0</v>
      </c>
      <c r="BP24" s="328"/>
      <c r="BQ24" s="328">
        <f t="shared" si="17"/>
        <v>0</v>
      </c>
      <c r="BR24" s="328"/>
      <c r="BS24" s="328">
        <f t="shared" si="17"/>
        <v>0</v>
      </c>
      <c r="BT24" s="328"/>
      <c r="BU24" s="328">
        <f t="shared" si="17"/>
        <v>0</v>
      </c>
      <c r="BV24" s="192"/>
      <c r="BW24" s="14"/>
      <c r="BX24" s="14"/>
      <c r="BY24" s="14"/>
      <c r="BZ24" s="14"/>
      <c r="CA24" s="14"/>
      <c r="CB24" s="14"/>
      <c r="CC24" s="14"/>
      <c r="CD24" s="14"/>
      <c r="CE24" s="14"/>
      <c r="CF24" s="14"/>
      <c r="CG24" s="14"/>
      <c r="CH24" s="14"/>
      <c r="CI24" s="14"/>
      <c r="CJ24" s="14"/>
      <c r="CK24" s="14"/>
    </row>
    <row r="25" spans="1:89" ht="15.75" customHeight="1">
      <c r="A25" s="400"/>
      <c r="B25" s="400"/>
      <c r="C25" s="266"/>
      <c r="E25" s="333"/>
      <c r="F25" s="333"/>
      <c r="G25" s="333"/>
      <c r="H25" s="333"/>
      <c r="I25" s="333"/>
      <c r="J25" s="238"/>
      <c r="K25" s="238"/>
      <c r="N25" s="238"/>
      <c r="P25" s="238"/>
      <c r="R25" s="238"/>
      <c r="T25" s="238"/>
      <c r="Z25" s="346"/>
      <c r="AA25" s="72"/>
      <c r="AB25" s="72"/>
      <c r="AC25" s="72"/>
      <c r="AD25" s="187"/>
      <c r="AL25" s="273"/>
      <c r="AM25" s="372"/>
      <c r="AN25" s="476">
        <v>11</v>
      </c>
      <c r="AO25" s="486" t="s">
        <v>569</v>
      </c>
      <c r="AP25" s="60" t="s">
        <v>169</v>
      </c>
      <c r="AQ25" s="328">
        <f>F8-F9</f>
        <v>0</v>
      </c>
      <c r="AR25" s="328"/>
      <c r="AS25" s="328">
        <f aca="true" t="shared" si="18" ref="AS25:BU25">H8-H9</f>
        <v>0</v>
      </c>
      <c r="AT25" s="328"/>
      <c r="AU25" s="328">
        <f t="shared" si="18"/>
        <v>0</v>
      </c>
      <c r="AV25" s="328"/>
      <c r="AW25" s="328">
        <f t="shared" si="18"/>
        <v>0</v>
      </c>
      <c r="AX25" s="328"/>
      <c r="AY25" s="328">
        <f t="shared" si="18"/>
        <v>0</v>
      </c>
      <c r="AZ25" s="328"/>
      <c r="BA25" s="328">
        <f t="shared" si="18"/>
        <v>0</v>
      </c>
      <c r="BB25" s="328"/>
      <c r="BC25" s="328">
        <f t="shared" si="18"/>
        <v>0</v>
      </c>
      <c r="BD25" s="328"/>
      <c r="BE25" s="328">
        <f t="shared" si="18"/>
        <v>0</v>
      </c>
      <c r="BF25" s="328"/>
      <c r="BG25" s="328">
        <f t="shared" si="18"/>
        <v>0</v>
      </c>
      <c r="BH25" s="328"/>
      <c r="BI25" s="328">
        <f t="shared" si="18"/>
        <v>0</v>
      </c>
      <c r="BJ25" s="328"/>
      <c r="BK25" s="328">
        <f t="shared" si="18"/>
        <v>0</v>
      </c>
      <c r="BL25" s="328"/>
      <c r="BM25" s="328">
        <f t="shared" si="18"/>
        <v>0</v>
      </c>
      <c r="BN25" s="328"/>
      <c r="BO25" s="328">
        <f t="shared" si="18"/>
        <v>0</v>
      </c>
      <c r="BP25" s="328"/>
      <c r="BQ25" s="328">
        <f t="shared" si="18"/>
        <v>0</v>
      </c>
      <c r="BR25" s="328"/>
      <c r="BS25" s="328">
        <f t="shared" si="18"/>
        <v>0</v>
      </c>
      <c r="BT25" s="328"/>
      <c r="BU25" s="328">
        <f t="shared" si="18"/>
        <v>0</v>
      </c>
      <c r="BV25" s="192"/>
      <c r="BW25" s="14"/>
      <c r="BX25" s="14"/>
      <c r="BY25" s="14"/>
      <c r="BZ25" s="14"/>
      <c r="CA25" s="14"/>
      <c r="CB25" s="14"/>
      <c r="CC25" s="14"/>
      <c r="CD25" s="14"/>
      <c r="CE25" s="14"/>
      <c r="CF25" s="14"/>
      <c r="CG25" s="14"/>
      <c r="CH25" s="14"/>
      <c r="CI25" s="14"/>
      <c r="CJ25" s="14"/>
      <c r="CK25" s="14"/>
    </row>
    <row r="26" spans="1:89" ht="30" customHeight="1">
      <c r="A26" s="400"/>
      <c r="B26" s="400"/>
      <c r="C26" s="266"/>
      <c r="D26" s="655" t="str">
        <f>D8&amp;" (W3,1)"</f>
        <v>Volume brut d’eau douce prélevé (= W2,1) (W3,1)</v>
      </c>
      <c r="E26" s="656"/>
      <c r="F26" s="657"/>
      <c r="O26" s="238"/>
      <c r="P26" s="238"/>
      <c r="Q26" s="238"/>
      <c r="S26" s="72"/>
      <c r="T26" s="72"/>
      <c r="V26" s="655" t="str">
        <f>LEFT(D10,LEN(D10)-7)&amp;" (W3,3)"</f>
        <v>Volume net d’eau douce prélevé (W3,3)</v>
      </c>
      <c r="W26" s="656"/>
      <c r="X26" s="656"/>
      <c r="Y26" s="657"/>
      <c r="AD26" s="72"/>
      <c r="AL26" s="273"/>
      <c r="AM26" s="372"/>
      <c r="AN26" s="468" t="s">
        <v>677</v>
      </c>
      <c r="AO26" s="486" t="s">
        <v>582</v>
      </c>
      <c r="AP26" s="60"/>
      <c r="AQ26" s="328" t="str">
        <f>IF(ISBLANK(F10),"N/A",IF(ROUND(AQ24,0)&gt;ROUND(AQ25,0),"3&gt;11",IF(OR(ISBLANK(F8),ISBLANK(F9)),"N/A",IF((ROUND(AQ24,0)=ROUND(AQ25,0)),"ok","&lt;&gt;"))))</f>
        <v>N/A</v>
      </c>
      <c r="AR26" s="328"/>
      <c r="AS26" s="328" t="str">
        <f aca="true" t="shared" si="19" ref="AS26:BU26">IF(ISBLANK(H10),"N/A",IF(ROUND(AS24,0)&gt;ROUND(AS25,0),"3&gt;11",IF(OR(ISBLANK(H8),ISBLANK(H9)),"N/A",IF((ROUND(AS24,0)=ROUND(AS25,0)),"ok","&lt;&gt;"))))</f>
        <v>N/A</v>
      </c>
      <c r="AT26" s="328"/>
      <c r="AU26" s="328" t="str">
        <f t="shared" si="19"/>
        <v>N/A</v>
      </c>
      <c r="AV26" s="328"/>
      <c r="AW26" s="328" t="str">
        <f t="shared" si="19"/>
        <v>N/A</v>
      </c>
      <c r="AX26" s="328"/>
      <c r="AY26" s="328" t="str">
        <f t="shared" si="19"/>
        <v>N/A</v>
      </c>
      <c r="AZ26" s="328"/>
      <c r="BA26" s="328" t="str">
        <f t="shared" si="19"/>
        <v>N/A</v>
      </c>
      <c r="BB26" s="328"/>
      <c r="BC26" s="328" t="str">
        <f t="shared" si="19"/>
        <v>N/A</v>
      </c>
      <c r="BD26" s="328"/>
      <c r="BE26" s="328" t="str">
        <f t="shared" si="19"/>
        <v>N/A</v>
      </c>
      <c r="BF26" s="328"/>
      <c r="BG26" s="328" t="str">
        <f t="shared" si="19"/>
        <v>N/A</v>
      </c>
      <c r="BH26" s="328"/>
      <c r="BI26" s="328" t="str">
        <f t="shared" si="19"/>
        <v>N/A</v>
      </c>
      <c r="BJ26" s="328"/>
      <c r="BK26" s="328" t="str">
        <f t="shared" si="19"/>
        <v>N/A</v>
      </c>
      <c r="BL26" s="328"/>
      <c r="BM26" s="328" t="str">
        <f t="shared" si="19"/>
        <v>N/A</v>
      </c>
      <c r="BN26" s="328"/>
      <c r="BO26" s="328" t="str">
        <f t="shared" si="19"/>
        <v>N/A</v>
      </c>
      <c r="BP26" s="328"/>
      <c r="BQ26" s="328" t="str">
        <f t="shared" si="19"/>
        <v>N/A</v>
      </c>
      <c r="BR26" s="328"/>
      <c r="BS26" s="328" t="str">
        <f t="shared" si="19"/>
        <v>N/A</v>
      </c>
      <c r="BT26" s="328"/>
      <c r="BU26" s="328" t="str">
        <f t="shared" si="19"/>
        <v>N/A</v>
      </c>
      <c r="BV26" s="192"/>
      <c r="BW26" s="14"/>
      <c r="BX26" s="14"/>
      <c r="BY26" s="14"/>
      <c r="BZ26" s="14"/>
      <c r="CA26" s="14"/>
      <c r="CB26" s="14"/>
      <c r="CC26" s="14"/>
      <c r="CD26" s="14"/>
      <c r="CE26" s="14"/>
      <c r="CF26" s="14"/>
      <c r="CG26" s="14"/>
      <c r="CH26" s="14"/>
      <c r="CI26" s="14"/>
      <c r="CJ26" s="14"/>
      <c r="CK26" s="14"/>
    </row>
    <row r="27" spans="1:89" ht="25.5" customHeight="1">
      <c r="A27" s="400"/>
      <c r="B27" s="400"/>
      <c r="C27" s="266"/>
      <c r="O27" s="238"/>
      <c r="P27" s="238"/>
      <c r="S27" s="72"/>
      <c r="T27" s="72"/>
      <c r="V27" s="655" t="str">
        <f>D11&amp;" (W3,4)"</f>
        <v>Eau dessalée (W3,4)</v>
      </c>
      <c r="W27" s="656"/>
      <c r="X27" s="656"/>
      <c r="Y27" s="657"/>
      <c r="AL27" s="273"/>
      <c r="AM27" s="372"/>
      <c r="AN27" s="60">
        <v>8</v>
      </c>
      <c r="AO27" s="315" t="s">
        <v>516</v>
      </c>
      <c r="AP27" s="60" t="s">
        <v>169</v>
      </c>
      <c r="AQ27" s="328">
        <f>F15</f>
        <v>0</v>
      </c>
      <c r="AR27" s="328"/>
      <c r="AS27" s="328">
        <f aca="true" t="shared" si="20" ref="AS27:BU27">H15</f>
        <v>0</v>
      </c>
      <c r="AT27" s="328"/>
      <c r="AU27" s="328">
        <f t="shared" si="20"/>
        <v>0</v>
      </c>
      <c r="AV27" s="328"/>
      <c r="AW27" s="328">
        <f t="shared" si="20"/>
        <v>0</v>
      </c>
      <c r="AX27" s="328"/>
      <c r="AY27" s="328">
        <f t="shared" si="20"/>
        <v>0</v>
      </c>
      <c r="AZ27" s="328"/>
      <c r="BA27" s="328">
        <f t="shared" si="20"/>
        <v>0</v>
      </c>
      <c r="BB27" s="328"/>
      <c r="BC27" s="328">
        <f t="shared" si="20"/>
        <v>0</v>
      </c>
      <c r="BD27" s="328"/>
      <c r="BE27" s="328">
        <f t="shared" si="20"/>
        <v>0</v>
      </c>
      <c r="BF27" s="328"/>
      <c r="BG27" s="328">
        <f t="shared" si="20"/>
        <v>0</v>
      </c>
      <c r="BH27" s="328"/>
      <c r="BI27" s="328">
        <f t="shared" si="20"/>
        <v>0</v>
      </c>
      <c r="BJ27" s="328"/>
      <c r="BK27" s="328">
        <f t="shared" si="20"/>
        <v>0</v>
      </c>
      <c r="BL27" s="328"/>
      <c r="BM27" s="328">
        <f t="shared" si="20"/>
        <v>0</v>
      </c>
      <c r="BN27" s="328"/>
      <c r="BO27" s="328">
        <f t="shared" si="20"/>
        <v>0</v>
      </c>
      <c r="BP27" s="328"/>
      <c r="BQ27" s="328">
        <f t="shared" si="20"/>
        <v>0</v>
      </c>
      <c r="BR27" s="328"/>
      <c r="BS27" s="328">
        <f t="shared" si="20"/>
        <v>0</v>
      </c>
      <c r="BT27" s="328"/>
      <c r="BU27" s="328">
        <f t="shared" si="20"/>
        <v>0</v>
      </c>
      <c r="BV27" s="192"/>
      <c r="BW27" s="14"/>
      <c r="BX27" s="14"/>
      <c r="BY27" s="14"/>
      <c r="BZ27" s="14"/>
      <c r="CA27" s="14"/>
      <c r="CB27" s="14"/>
      <c r="CC27" s="14"/>
      <c r="CD27" s="14"/>
      <c r="CE27" s="14"/>
      <c r="CF27" s="14"/>
      <c r="CG27" s="14"/>
      <c r="CH27" s="14"/>
      <c r="CI27" s="14"/>
      <c r="CJ27" s="14"/>
      <c r="CK27" s="14"/>
    </row>
    <row r="28" spans="1:89" ht="42" customHeight="1">
      <c r="A28" s="400"/>
      <c r="B28" s="400"/>
      <c r="C28" s="266"/>
      <c r="O28" s="238"/>
      <c r="P28" s="238"/>
      <c r="Q28" s="238"/>
      <c r="R28" s="655" t="str">
        <f>D9&amp;" (W3,2)"</f>
        <v>Eaux restituées à l’environnement sans avoir été utilisées (W3,2)</v>
      </c>
      <c r="S28" s="656"/>
      <c r="T28" s="657"/>
      <c r="V28" s="655" t="str">
        <f>D12&amp;" (W3,5)"</f>
        <v>Eau réutilisée (W3,5)</v>
      </c>
      <c r="W28" s="656"/>
      <c r="X28" s="656"/>
      <c r="Y28" s="657"/>
      <c r="AA28" s="655" t="str">
        <f>LEFT(D15,LEN(D15)-12)&amp;" (W3,8)"</f>
        <v>Quantité totale d’eau douce disponible et utilisable  (W3,8)</v>
      </c>
      <c r="AB28" s="656"/>
      <c r="AC28" s="656"/>
      <c r="AD28" s="657"/>
      <c r="AG28" s="710" t="str">
        <f>LEFT(D17,LEN(D17)-14)&amp;" (W3,10) (W4,1)"</f>
        <v>Quantité totale d’eau douce utilisée  (W3,10) (W4,1)</v>
      </c>
      <c r="AH28" s="711"/>
      <c r="AI28" s="711"/>
      <c r="AJ28" s="711"/>
      <c r="AK28" s="712"/>
      <c r="AL28" s="273"/>
      <c r="AM28" s="372"/>
      <c r="AN28" s="476">
        <v>12</v>
      </c>
      <c r="AO28" s="486" t="s">
        <v>583</v>
      </c>
      <c r="AP28" s="60" t="s">
        <v>169</v>
      </c>
      <c r="AQ28" s="328">
        <f>F10+F11+F12+F13-F14</f>
        <v>0</v>
      </c>
      <c r="AR28" s="328"/>
      <c r="AS28" s="328">
        <f aca="true" t="shared" si="21" ref="AS28:BU28">H10+H11+H12+H13-H14</f>
        <v>0</v>
      </c>
      <c r="AT28" s="328"/>
      <c r="AU28" s="328">
        <f t="shared" si="21"/>
        <v>0</v>
      </c>
      <c r="AV28" s="328"/>
      <c r="AW28" s="328">
        <f t="shared" si="21"/>
        <v>0</v>
      </c>
      <c r="AX28" s="328"/>
      <c r="AY28" s="328">
        <f t="shared" si="21"/>
        <v>0</v>
      </c>
      <c r="AZ28" s="328"/>
      <c r="BA28" s="328">
        <f t="shared" si="21"/>
        <v>0</v>
      </c>
      <c r="BB28" s="328"/>
      <c r="BC28" s="328">
        <f t="shared" si="21"/>
        <v>0</v>
      </c>
      <c r="BD28" s="328"/>
      <c r="BE28" s="328">
        <f t="shared" si="21"/>
        <v>0</v>
      </c>
      <c r="BF28" s="328"/>
      <c r="BG28" s="328">
        <f t="shared" si="21"/>
        <v>0</v>
      </c>
      <c r="BH28" s="328"/>
      <c r="BI28" s="328">
        <f t="shared" si="21"/>
        <v>0</v>
      </c>
      <c r="BJ28" s="328"/>
      <c r="BK28" s="328">
        <f t="shared" si="21"/>
        <v>0</v>
      </c>
      <c r="BL28" s="328"/>
      <c r="BM28" s="328">
        <f t="shared" si="21"/>
        <v>0</v>
      </c>
      <c r="BN28" s="328"/>
      <c r="BO28" s="328">
        <f t="shared" si="21"/>
        <v>0</v>
      </c>
      <c r="BP28" s="328"/>
      <c r="BQ28" s="328">
        <f t="shared" si="21"/>
        <v>0</v>
      </c>
      <c r="BR28" s="328"/>
      <c r="BS28" s="328">
        <f t="shared" si="21"/>
        <v>0</v>
      </c>
      <c r="BT28" s="328"/>
      <c r="BU28" s="328">
        <f t="shared" si="21"/>
        <v>0</v>
      </c>
      <c r="BV28" s="192"/>
      <c r="BW28" s="14"/>
      <c r="BX28" s="14"/>
      <c r="BY28" s="14"/>
      <c r="BZ28" s="14"/>
      <c r="CA28" s="14"/>
      <c r="CB28" s="14"/>
      <c r="CC28" s="14"/>
      <c r="CD28" s="14"/>
      <c r="CE28" s="14"/>
      <c r="CF28" s="14"/>
      <c r="CG28" s="14"/>
      <c r="CH28" s="14"/>
      <c r="CI28" s="14"/>
      <c r="CJ28" s="14"/>
      <c r="CK28" s="14"/>
    </row>
    <row r="29" spans="1:89" ht="24.75" customHeight="1">
      <c r="A29" s="400"/>
      <c r="B29" s="400"/>
      <c r="C29" s="266"/>
      <c r="O29" s="238"/>
      <c r="P29" s="238"/>
      <c r="S29" s="72"/>
      <c r="T29" s="72"/>
      <c r="V29" s="704" t="str">
        <f>D13&amp;" - "&amp;D14&amp;" (=W3,6 - W3,7)"</f>
        <v>Importations d’eau - Exportations d’eau (=W3,6 - W3,7)</v>
      </c>
      <c r="W29" s="705"/>
      <c r="X29" s="705"/>
      <c r="Y29" s="706"/>
      <c r="AL29" s="273"/>
      <c r="AM29" s="372"/>
      <c r="AN29" s="468" t="s">
        <v>677</v>
      </c>
      <c r="AO29" s="486" t="s">
        <v>584</v>
      </c>
      <c r="AP29" s="60"/>
      <c r="AQ29" s="328" t="str">
        <f>IF(ISBLANK(F15),"N/A",IF(ROUND(AQ27,0)&lt;ROUND(AQ28,0),"8&lt;12",IF(OR(ISBLANK(F10),ISBLANK(F11),ISBLANK(F12),ISBLANK(F13),ISBLANK(F14)),"N/A",IF((ROUND(AQ27,0)=ROUND(AQ28,0)),"ok","&lt;&gt;"))))</f>
        <v>N/A</v>
      </c>
      <c r="AR29" s="328"/>
      <c r="AS29" s="328" t="str">
        <f aca="true" t="shared" si="22" ref="AS29:BU29">IF(ISBLANK(H15),"N/A",IF(ROUND(AS27,0)&lt;ROUND(AS28,0),"8&lt;12",IF(OR(ISBLANK(H10),ISBLANK(H11),ISBLANK(H12),ISBLANK(H13),ISBLANK(H14)),"N/A",IF((ROUND(AS27,0)=ROUND(AS28,0)),"ok","&lt;&gt;"))))</f>
        <v>N/A</v>
      </c>
      <c r="AT29" s="328"/>
      <c r="AU29" s="328" t="str">
        <f t="shared" si="22"/>
        <v>N/A</v>
      </c>
      <c r="AV29" s="328"/>
      <c r="AW29" s="328" t="str">
        <f t="shared" si="22"/>
        <v>N/A</v>
      </c>
      <c r="AX29" s="328"/>
      <c r="AY29" s="328" t="str">
        <f t="shared" si="22"/>
        <v>N/A</v>
      </c>
      <c r="AZ29" s="328"/>
      <c r="BA29" s="328" t="str">
        <f t="shared" si="22"/>
        <v>N/A</v>
      </c>
      <c r="BB29" s="328"/>
      <c r="BC29" s="328" t="str">
        <f t="shared" si="22"/>
        <v>N/A</v>
      </c>
      <c r="BD29" s="328"/>
      <c r="BE29" s="328" t="str">
        <f t="shared" si="22"/>
        <v>N/A</v>
      </c>
      <c r="BF29" s="328"/>
      <c r="BG29" s="328" t="str">
        <f t="shared" si="22"/>
        <v>N/A</v>
      </c>
      <c r="BH29" s="328"/>
      <c r="BI29" s="328" t="str">
        <f t="shared" si="22"/>
        <v>N/A</v>
      </c>
      <c r="BJ29" s="328"/>
      <c r="BK29" s="328" t="str">
        <f t="shared" si="22"/>
        <v>N/A</v>
      </c>
      <c r="BL29" s="328"/>
      <c r="BM29" s="328" t="str">
        <f t="shared" si="22"/>
        <v>N/A</v>
      </c>
      <c r="BN29" s="328"/>
      <c r="BO29" s="328" t="str">
        <f t="shared" si="22"/>
        <v>N/A</v>
      </c>
      <c r="BP29" s="328"/>
      <c r="BQ29" s="328" t="str">
        <f t="shared" si="22"/>
        <v>N/A</v>
      </c>
      <c r="BR29" s="328"/>
      <c r="BS29" s="328" t="str">
        <f t="shared" si="22"/>
        <v>N/A</v>
      </c>
      <c r="BT29" s="328"/>
      <c r="BU29" s="328" t="str">
        <f t="shared" si="22"/>
        <v>N/A</v>
      </c>
      <c r="BV29" s="192"/>
      <c r="BW29" s="14"/>
      <c r="BX29" s="14"/>
      <c r="BY29" s="14"/>
      <c r="BZ29" s="14"/>
      <c r="CA29" s="14"/>
      <c r="CB29" s="14"/>
      <c r="CC29" s="14"/>
      <c r="CD29" s="14"/>
      <c r="CE29" s="14"/>
      <c r="CF29" s="14"/>
      <c r="CG29" s="14"/>
      <c r="CH29" s="14"/>
      <c r="CI29" s="14"/>
      <c r="CJ29" s="14"/>
      <c r="CK29" s="14"/>
    </row>
    <row r="30" spans="1:89" ht="19.5" customHeight="1">
      <c r="A30" s="400"/>
      <c r="B30" s="400"/>
      <c r="C30" s="266"/>
      <c r="S30" s="72"/>
      <c r="T30" s="72"/>
      <c r="V30" s="707"/>
      <c r="W30" s="708"/>
      <c r="X30" s="708"/>
      <c r="Y30" s="709"/>
      <c r="AC30" s="72"/>
      <c r="AD30" s="655" t="str">
        <f>D16&amp;" (W3,9)"</f>
        <v>Pertes au cours du transport (W3,9)</v>
      </c>
      <c r="AE30" s="656"/>
      <c r="AF30" s="656"/>
      <c r="AG30" s="656"/>
      <c r="AH30" s="657"/>
      <c r="AL30" s="273"/>
      <c r="AM30" s="372"/>
      <c r="AN30" s="60">
        <v>10</v>
      </c>
      <c r="AO30" s="315" t="s">
        <v>152</v>
      </c>
      <c r="AP30" s="60" t="s">
        <v>169</v>
      </c>
      <c r="AQ30" s="328">
        <f>F17</f>
        <v>0</v>
      </c>
      <c r="AR30" s="328"/>
      <c r="AS30" s="328">
        <f aca="true" t="shared" si="23" ref="AS30:BU30">H17</f>
        <v>0</v>
      </c>
      <c r="AT30" s="328"/>
      <c r="AU30" s="328">
        <f t="shared" si="23"/>
        <v>0</v>
      </c>
      <c r="AV30" s="328"/>
      <c r="AW30" s="328">
        <f t="shared" si="23"/>
        <v>0</v>
      </c>
      <c r="AX30" s="328"/>
      <c r="AY30" s="328">
        <f t="shared" si="23"/>
        <v>0</v>
      </c>
      <c r="AZ30" s="328"/>
      <c r="BA30" s="328">
        <f t="shared" si="23"/>
        <v>0</v>
      </c>
      <c r="BB30" s="328"/>
      <c r="BC30" s="328">
        <f t="shared" si="23"/>
        <v>0</v>
      </c>
      <c r="BD30" s="328"/>
      <c r="BE30" s="328">
        <f t="shared" si="23"/>
        <v>0</v>
      </c>
      <c r="BF30" s="328"/>
      <c r="BG30" s="328">
        <f t="shared" si="23"/>
        <v>0</v>
      </c>
      <c r="BH30" s="328"/>
      <c r="BI30" s="328">
        <f t="shared" si="23"/>
        <v>0</v>
      </c>
      <c r="BJ30" s="328"/>
      <c r="BK30" s="328">
        <f t="shared" si="23"/>
        <v>0</v>
      </c>
      <c r="BL30" s="328"/>
      <c r="BM30" s="328">
        <f t="shared" si="23"/>
        <v>0</v>
      </c>
      <c r="BN30" s="328"/>
      <c r="BO30" s="328">
        <f t="shared" si="23"/>
        <v>0</v>
      </c>
      <c r="BP30" s="328"/>
      <c r="BQ30" s="328">
        <f t="shared" si="23"/>
        <v>0</v>
      </c>
      <c r="BR30" s="328"/>
      <c r="BS30" s="328">
        <f t="shared" si="23"/>
        <v>0</v>
      </c>
      <c r="BT30" s="328"/>
      <c r="BU30" s="328">
        <f t="shared" si="23"/>
        <v>0</v>
      </c>
      <c r="BV30" s="192"/>
      <c r="BW30" s="14"/>
      <c r="BX30" s="14"/>
      <c r="BY30" s="14"/>
      <c r="BZ30" s="14"/>
      <c r="CA30" s="14"/>
      <c r="CB30" s="14"/>
      <c r="CC30" s="14"/>
      <c r="CD30" s="14"/>
      <c r="CE30" s="14"/>
      <c r="CF30" s="14"/>
      <c r="CG30" s="14"/>
      <c r="CH30" s="14"/>
      <c r="CI30" s="14"/>
      <c r="CJ30" s="14"/>
      <c r="CK30" s="14"/>
    </row>
    <row r="31" spans="1:89" ht="1.5" customHeight="1">
      <c r="A31" s="400"/>
      <c r="B31" s="400"/>
      <c r="C31" s="266"/>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372"/>
      <c r="AQ31" s="312"/>
      <c r="AR31" s="313"/>
      <c r="AS31" s="370"/>
      <c r="AT31" s="313"/>
      <c r="AU31" s="370"/>
      <c r="AV31" s="313"/>
      <c r="AW31" s="370"/>
      <c r="AX31" s="313"/>
      <c r="AY31" s="370"/>
      <c r="AZ31" s="313"/>
      <c r="BA31" s="312"/>
      <c r="BB31" s="313"/>
      <c r="BC31" s="312"/>
      <c r="BD31" s="313"/>
      <c r="BE31" s="312"/>
      <c r="BF31" s="313"/>
      <c r="BG31" s="312"/>
      <c r="BH31" s="313"/>
      <c r="BI31" s="312"/>
      <c r="BJ31" s="371"/>
      <c r="BK31" s="312"/>
      <c r="BL31" s="313"/>
      <c r="BM31" s="370"/>
      <c r="BN31" s="313"/>
      <c r="BO31" s="312"/>
      <c r="BP31" s="313"/>
      <c r="BQ31" s="312"/>
      <c r="BR31" s="313"/>
      <c r="BS31" s="312"/>
      <c r="BT31" s="313"/>
      <c r="BU31" s="312"/>
      <c r="BV31" s="313"/>
      <c r="BW31" s="14"/>
      <c r="BX31" s="14"/>
      <c r="BY31" s="14"/>
      <c r="BZ31" s="14"/>
      <c r="CA31" s="14"/>
      <c r="CB31" s="14"/>
      <c r="CC31" s="14"/>
      <c r="CD31" s="14"/>
      <c r="CE31" s="14"/>
      <c r="CF31" s="14"/>
      <c r="CG31" s="14"/>
      <c r="CH31" s="14"/>
      <c r="CI31" s="14"/>
      <c r="CJ31" s="14"/>
      <c r="CK31" s="14"/>
    </row>
    <row r="32" spans="2:74" ht="15.75" customHeight="1">
      <c r="B32" s="398">
        <v>2</v>
      </c>
      <c r="C32" s="119" t="s">
        <v>50</v>
      </c>
      <c r="D32" s="121"/>
      <c r="E32" s="119"/>
      <c r="F32" s="117"/>
      <c r="G32" s="162"/>
      <c r="H32" s="182"/>
      <c r="I32" s="166"/>
      <c r="J32" s="182"/>
      <c r="K32" s="166"/>
      <c r="L32" s="182"/>
      <c r="M32" s="166"/>
      <c r="N32" s="182"/>
      <c r="O32" s="166"/>
      <c r="P32" s="182"/>
      <c r="Q32" s="162"/>
      <c r="R32" s="182"/>
      <c r="S32" s="162"/>
      <c r="T32" s="182"/>
      <c r="U32" s="162"/>
      <c r="V32" s="182"/>
      <c r="W32" s="162"/>
      <c r="X32" s="182"/>
      <c r="Y32" s="162"/>
      <c r="Z32" s="189"/>
      <c r="AA32" s="162"/>
      <c r="AB32" s="182"/>
      <c r="AC32" s="166"/>
      <c r="AD32" s="182"/>
      <c r="AE32" s="162"/>
      <c r="AF32" s="182"/>
      <c r="AG32" s="162"/>
      <c r="AH32" s="182"/>
      <c r="AI32" s="234"/>
      <c r="AJ32" s="194"/>
      <c r="AK32" s="557"/>
      <c r="AL32" s="557"/>
      <c r="AN32" s="476">
        <v>13</v>
      </c>
      <c r="AO32" s="486" t="s">
        <v>588</v>
      </c>
      <c r="AP32" s="60" t="s">
        <v>169</v>
      </c>
      <c r="AQ32" s="328">
        <f>F15-F16</f>
        <v>0</v>
      </c>
      <c r="AR32" s="328"/>
      <c r="AS32" s="328">
        <f aca="true" t="shared" si="24" ref="AS32:BU32">H15-H16</f>
        <v>0</v>
      </c>
      <c r="AT32" s="328"/>
      <c r="AU32" s="328">
        <f t="shared" si="24"/>
        <v>0</v>
      </c>
      <c r="AV32" s="328"/>
      <c r="AW32" s="328">
        <f t="shared" si="24"/>
        <v>0</v>
      </c>
      <c r="AX32" s="328"/>
      <c r="AY32" s="328">
        <f t="shared" si="24"/>
        <v>0</v>
      </c>
      <c r="AZ32" s="328"/>
      <c r="BA32" s="328">
        <f t="shared" si="24"/>
        <v>0</v>
      </c>
      <c r="BB32" s="328"/>
      <c r="BC32" s="328">
        <f t="shared" si="24"/>
        <v>0</v>
      </c>
      <c r="BD32" s="328"/>
      <c r="BE32" s="328">
        <f t="shared" si="24"/>
        <v>0</v>
      </c>
      <c r="BF32" s="328"/>
      <c r="BG32" s="328">
        <f t="shared" si="24"/>
        <v>0</v>
      </c>
      <c r="BH32" s="328"/>
      <c r="BI32" s="328">
        <f t="shared" si="24"/>
        <v>0</v>
      </c>
      <c r="BJ32" s="328"/>
      <c r="BK32" s="328">
        <f t="shared" si="24"/>
        <v>0</v>
      </c>
      <c r="BL32" s="328"/>
      <c r="BM32" s="328">
        <f t="shared" si="24"/>
        <v>0</v>
      </c>
      <c r="BN32" s="328"/>
      <c r="BO32" s="328">
        <f t="shared" si="24"/>
        <v>0</v>
      </c>
      <c r="BP32" s="328"/>
      <c r="BQ32" s="328">
        <f t="shared" si="24"/>
        <v>0</v>
      </c>
      <c r="BR32" s="328"/>
      <c r="BS32" s="328">
        <f t="shared" si="24"/>
        <v>0</v>
      </c>
      <c r="BT32" s="328"/>
      <c r="BU32" s="328">
        <f t="shared" si="24"/>
        <v>0</v>
      </c>
      <c r="BV32" s="192"/>
    </row>
    <row r="33" spans="3:74" ht="1.5" customHeight="1">
      <c r="C33" s="45"/>
      <c r="D33" s="45"/>
      <c r="E33" s="46"/>
      <c r="F33" s="13"/>
      <c r="G33" s="169"/>
      <c r="H33" s="188"/>
      <c r="I33" s="171"/>
      <c r="J33" s="188"/>
      <c r="K33" s="171"/>
      <c r="L33" s="188"/>
      <c r="M33" s="171"/>
      <c r="N33" s="188"/>
      <c r="O33" s="171"/>
      <c r="P33" s="188"/>
      <c r="Q33" s="169"/>
      <c r="R33" s="188"/>
      <c r="S33" s="169"/>
      <c r="T33" s="188"/>
      <c r="U33" s="169"/>
      <c r="V33" s="188"/>
      <c r="W33" s="169"/>
      <c r="X33" s="188"/>
      <c r="Y33" s="169"/>
      <c r="Z33" s="190"/>
      <c r="AA33" s="169"/>
      <c r="AB33" s="188"/>
      <c r="AC33" s="171"/>
      <c r="AD33" s="188"/>
      <c r="AE33" s="169"/>
      <c r="AF33" s="183"/>
      <c r="AG33" s="163"/>
      <c r="AH33" s="183"/>
      <c r="AK33" s="80"/>
      <c r="AL33" s="80"/>
      <c r="AN33" s="479"/>
      <c r="AO33" s="479"/>
      <c r="AP33" s="60"/>
      <c r="AQ33" s="142"/>
      <c r="AR33" s="192"/>
      <c r="AS33" s="147"/>
      <c r="AT33" s="192"/>
      <c r="AU33" s="147"/>
      <c r="AV33" s="192"/>
      <c r="AW33" s="147"/>
      <c r="AX33" s="192"/>
      <c r="AY33" s="147"/>
      <c r="AZ33" s="192"/>
      <c r="BA33" s="142"/>
      <c r="BB33" s="192"/>
      <c r="BC33" s="142"/>
      <c r="BD33" s="192"/>
      <c r="BE33" s="142"/>
      <c r="BF33" s="192"/>
      <c r="BG33" s="142"/>
      <c r="BH33" s="192"/>
      <c r="BI33" s="142"/>
      <c r="BJ33" s="369"/>
      <c r="BK33" s="142"/>
      <c r="BL33" s="192"/>
      <c r="BM33" s="147"/>
      <c r="BN33" s="192"/>
      <c r="BO33" s="142"/>
      <c r="BP33" s="192"/>
      <c r="BQ33" s="142"/>
      <c r="BR33" s="192"/>
      <c r="BS33" s="142"/>
      <c r="BT33" s="192"/>
      <c r="BU33" s="142"/>
      <c r="BV33" s="192"/>
    </row>
    <row r="34" spans="3:74" ht="18" customHeight="1">
      <c r="C34" s="73" t="s">
        <v>168</v>
      </c>
      <c r="D34" s="686" t="s">
        <v>51</v>
      </c>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8"/>
      <c r="AM34" s="358"/>
      <c r="AN34" s="468" t="s">
        <v>677</v>
      </c>
      <c r="AO34" s="486" t="s">
        <v>589</v>
      </c>
      <c r="AP34" s="60"/>
      <c r="AQ34" s="328" t="str">
        <f>IF(ISBLANK(F17),"N/A",IF(ROUND(AQ30,0)&gt;ROUND(AQ32,0),"10&gt;13",IF(OR(ISBLANK(F15),ISBLANK(F16)),"N/A",IF((ROUND(AQ30,0)=ROUND(AQ32,0)),"ok","&lt;&gt;"))))</f>
        <v>N/A</v>
      </c>
      <c r="AR34" s="328"/>
      <c r="AS34" s="328" t="str">
        <f aca="true" t="shared" si="25" ref="AS34:BU34">IF(ISBLANK(H17),"N/A",IF(ROUND(AS30,0)&gt;ROUND(AS32,0),"10&gt;13",IF(OR(ISBLANK(H15),ISBLANK(H16)),"N/A",IF((ROUND(AS30,0)=ROUND(AS32,0)),"ok","&lt;&gt;"))))</f>
        <v>N/A</v>
      </c>
      <c r="AT34" s="328"/>
      <c r="AU34" s="328" t="str">
        <f t="shared" si="25"/>
        <v>N/A</v>
      </c>
      <c r="AV34" s="328"/>
      <c r="AW34" s="328" t="str">
        <f t="shared" si="25"/>
        <v>N/A</v>
      </c>
      <c r="AX34" s="328"/>
      <c r="AY34" s="328" t="str">
        <f t="shared" si="25"/>
        <v>N/A</v>
      </c>
      <c r="AZ34" s="328"/>
      <c r="BA34" s="328" t="str">
        <f t="shared" si="25"/>
        <v>N/A</v>
      </c>
      <c r="BB34" s="328"/>
      <c r="BC34" s="328" t="str">
        <f t="shared" si="25"/>
        <v>N/A</v>
      </c>
      <c r="BD34" s="328"/>
      <c r="BE34" s="328" t="str">
        <f t="shared" si="25"/>
        <v>N/A</v>
      </c>
      <c r="BF34" s="328"/>
      <c r="BG34" s="328" t="str">
        <f t="shared" si="25"/>
        <v>N/A</v>
      </c>
      <c r="BH34" s="328"/>
      <c r="BI34" s="328" t="str">
        <f t="shared" si="25"/>
        <v>N/A</v>
      </c>
      <c r="BJ34" s="328"/>
      <c r="BK34" s="328" t="str">
        <f t="shared" si="25"/>
        <v>N/A</v>
      </c>
      <c r="BL34" s="328"/>
      <c r="BM34" s="328" t="str">
        <f t="shared" si="25"/>
        <v>N/A</v>
      </c>
      <c r="BN34" s="328"/>
      <c r="BO34" s="328" t="str">
        <f t="shared" si="25"/>
        <v>N/A</v>
      </c>
      <c r="BP34" s="328"/>
      <c r="BQ34" s="328" t="str">
        <f t="shared" si="25"/>
        <v>N/A</v>
      </c>
      <c r="BR34" s="328"/>
      <c r="BS34" s="328" t="str">
        <f t="shared" si="25"/>
        <v>N/A</v>
      </c>
      <c r="BT34" s="328"/>
      <c r="BU34" s="328" t="str">
        <f t="shared" si="25"/>
        <v>N/A</v>
      </c>
      <c r="BV34" s="192"/>
    </row>
    <row r="35" spans="3:74" ht="18" customHeight="1">
      <c r="C35" s="522"/>
      <c r="D35" s="701"/>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K35" s="702"/>
      <c r="AL35" s="703"/>
      <c r="AM35" s="378"/>
      <c r="AN35" s="476" t="s">
        <v>608</v>
      </c>
      <c r="AO35" s="486" t="s">
        <v>670</v>
      </c>
      <c r="AP35" s="60" t="s">
        <v>169</v>
      </c>
      <c r="AQ35" s="328">
        <f>'W4'!F8</f>
        <v>0</v>
      </c>
      <c r="AR35" s="328"/>
      <c r="AS35" s="328">
        <f>'W4'!H8</f>
        <v>0</v>
      </c>
      <c r="AT35" s="328"/>
      <c r="AU35" s="328">
        <f>'W4'!J8</f>
        <v>0</v>
      </c>
      <c r="AV35" s="328"/>
      <c r="AW35" s="328">
        <f>'W4'!L8</f>
        <v>0</v>
      </c>
      <c r="AX35" s="328"/>
      <c r="AY35" s="328">
        <f>'W4'!N8</f>
        <v>0</v>
      </c>
      <c r="AZ35" s="328"/>
      <c r="BA35" s="328">
        <f>'W4'!P8</f>
        <v>0</v>
      </c>
      <c r="BB35" s="328"/>
      <c r="BC35" s="328">
        <f>'W4'!R8</f>
        <v>0</v>
      </c>
      <c r="BD35" s="328"/>
      <c r="BE35" s="328">
        <f>'W4'!T8</f>
        <v>0</v>
      </c>
      <c r="BF35" s="328"/>
      <c r="BG35" s="328">
        <f>'W4'!V8</f>
        <v>0</v>
      </c>
      <c r="BH35" s="328"/>
      <c r="BI35" s="328">
        <f>'W4'!X8</f>
        <v>0</v>
      </c>
      <c r="BJ35" s="328"/>
      <c r="BK35" s="328">
        <f>'W4'!Z8</f>
        <v>0</v>
      </c>
      <c r="BL35" s="328"/>
      <c r="BM35" s="328">
        <f>'W4'!AB8</f>
        <v>0</v>
      </c>
      <c r="BN35" s="328"/>
      <c r="BO35" s="328">
        <f>'W4'!AD8</f>
        <v>0</v>
      </c>
      <c r="BP35" s="328"/>
      <c r="BQ35" s="328">
        <f>'W4'!AF8</f>
        <v>0</v>
      </c>
      <c r="BR35" s="328"/>
      <c r="BS35" s="328">
        <f>'W4'!AH8</f>
        <v>0</v>
      </c>
      <c r="BT35" s="328"/>
      <c r="BU35" s="328">
        <f>'W4'!AJ8</f>
        <v>0</v>
      </c>
      <c r="BV35" s="192"/>
    </row>
    <row r="36" spans="3:74" ht="18" customHeight="1">
      <c r="C36" s="522"/>
      <c r="D36" s="691"/>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9"/>
      <c r="AM36" s="378"/>
      <c r="AN36" s="483" t="s">
        <v>677</v>
      </c>
      <c r="AO36" s="487" t="s">
        <v>590</v>
      </c>
      <c r="AP36" s="316"/>
      <c r="AQ36" s="447" t="str">
        <f>IF(OR(ISBLANK(F17)),"N/A",IF((ROUND(AQ30,0)=ROUND(AQ35,0)),"ok","&lt;&gt;"))</f>
        <v>N/A</v>
      </c>
      <c r="AR36" s="447"/>
      <c r="AS36" s="447" t="str">
        <f aca="true" t="shared" si="26" ref="AS36:BU36">IF(OR(ISBLANK(H17)),"N/A",IF((ROUND(AS30,0)=ROUND(AS35,0)),"ok","&lt;&gt;"))</f>
        <v>N/A</v>
      </c>
      <c r="AT36" s="447"/>
      <c r="AU36" s="447" t="str">
        <f t="shared" si="26"/>
        <v>N/A</v>
      </c>
      <c r="AV36" s="447"/>
      <c r="AW36" s="447" t="str">
        <f t="shared" si="26"/>
        <v>N/A</v>
      </c>
      <c r="AX36" s="447"/>
      <c r="AY36" s="447" t="str">
        <f t="shared" si="26"/>
        <v>N/A</v>
      </c>
      <c r="AZ36" s="447"/>
      <c r="BA36" s="447" t="str">
        <f t="shared" si="26"/>
        <v>N/A</v>
      </c>
      <c r="BB36" s="447"/>
      <c r="BC36" s="447" t="str">
        <f t="shared" si="26"/>
        <v>N/A</v>
      </c>
      <c r="BD36" s="447"/>
      <c r="BE36" s="447" t="str">
        <f t="shared" si="26"/>
        <v>N/A</v>
      </c>
      <c r="BF36" s="447"/>
      <c r="BG36" s="447" t="str">
        <f t="shared" si="26"/>
        <v>N/A</v>
      </c>
      <c r="BH36" s="447"/>
      <c r="BI36" s="447" t="str">
        <f t="shared" si="26"/>
        <v>N/A</v>
      </c>
      <c r="BJ36" s="447"/>
      <c r="BK36" s="447" t="str">
        <f t="shared" si="26"/>
        <v>N/A</v>
      </c>
      <c r="BL36" s="447"/>
      <c r="BM36" s="447" t="str">
        <f t="shared" si="26"/>
        <v>N/A</v>
      </c>
      <c r="BN36" s="447"/>
      <c r="BO36" s="447" t="str">
        <f t="shared" si="26"/>
        <v>N/A</v>
      </c>
      <c r="BP36" s="447"/>
      <c r="BQ36" s="447" t="str">
        <f t="shared" si="26"/>
        <v>N/A</v>
      </c>
      <c r="BR36" s="447"/>
      <c r="BS36" s="447" t="str">
        <f t="shared" si="26"/>
        <v>N/A</v>
      </c>
      <c r="BT36" s="447"/>
      <c r="BU36" s="447" t="str">
        <f t="shared" si="26"/>
        <v>N/A</v>
      </c>
      <c r="BV36" s="319"/>
    </row>
    <row r="37" spans="3:41" ht="18" customHeight="1">
      <c r="C37" s="522"/>
      <c r="D37" s="691"/>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9"/>
      <c r="AM37" s="378"/>
      <c r="AN37" s="449" t="s">
        <v>616</v>
      </c>
      <c r="AO37" s="478" t="s">
        <v>617</v>
      </c>
    </row>
    <row r="38" spans="3:41" ht="18" customHeight="1">
      <c r="C38" s="522"/>
      <c r="D38" s="691"/>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9"/>
      <c r="AM38" s="378"/>
      <c r="AN38" s="449" t="s">
        <v>618</v>
      </c>
      <c r="AO38" s="478" t="s">
        <v>619</v>
      </c>
    </row>
    <row r="39" spans="3:41" ht="18" customHeight="1">
      <c r="C39" s="522"/>
      <c r="D39" s="691"/>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9"/>
      <c r="AM39" s="378"/>
      <c r="AN39" s="449" t="s">
        <v>621</v>
      </c>
      <c r="AO39" s="478" t="s">
        <v>623</v>
      </c>
    </row>
    <row r="40" spans="3:41" ht="18" customHeight="1">
      <c r="C40" s="522"/>
      <c r="D40" s="691"/>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9"/>
      <c r="AM40" s="378"/>
      <c r="AN40" s="451" t="s">
        <v>620</v>
      </c>
      <c r="AO40" s="478" t="s">
        <v>533</v>
      </c>
    </row>
    <row r="41" spans="3:39" ht="18" customHeight="1">
      <c r="C41" s="522"/>
      <c r="D41" s="691"/>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9"/>
      <c r="AM41" s="378"/>
    </row>
    <row r="42" spans="3:39" ht="18" customHeight="1">
      <c r="C42" s="522"/>
      <c r="D42" s="691"/>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9"/>
      <c r="AM42" s="378"/>
    </row>
    <row r="43" spans="3:39" ht="18" customHeight="1">
      <c r="C43" s="522"/>
      <c r="D43" s="691"/>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9"/>
      <c r="AM43" s="378"/>
    </row>
    <row r="44" spans="3:39" ht="18" customHeight="1">
      <c r="C44" s="522"/>
      <c r="D44" s="691"/>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9"/>
      <c r="AM44" s="378"/>
    </row>
    <row r="45" spans="3:39" ht="18" customHeight="1">
      <c r="C45" s="522"/>
      <c r="D45" s="691"/>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9"/>
      <c r="AM45" s="378"/>
    </row>
    <row r="46" spans="3:39" ht="18" customHeight="1">
      <c r="C46" s="522"/>
      <c r="D46" s="691"/>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9"/>
      <c r="AM46" s="378"/>
    </row>
    <row r="47" spans="3:39" ht="18" customHeight="1">
      <c r="C47" s="522"/>
      <c r="D47" s="691"/>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9"/>
      <c r="AM47" s="378"/>
    </row>
    <row r="48" spans="3:39" ht="18" customHeight="1">
      <c r="C48" s="522"/>
      <c r="D48" s="691"/>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9"/>
      <c r="AM48" s="378"/>
    </row>
    <row r="49" spans="3:39" ht="18" customHeight="1">
      <c r="C49" s="522"/>
      <c r="D49" s="691"/>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9"/>
      <c r="AM49" s="378"/>
    </row>
    <row r="50" spans="3:39" ht="18" customHeight="1">
      <c r="C50" s="522"/>
      <c r="D50" s="691"/>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9"/>
      <c r="AM50" s="378"/>
    </row>
    <row r="51" spans="3:39" ht="18" customHeight="1">
      <c r="C51" s="522"/>
      <c r="D51" s="691"/>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9"/>
      <c r="AM51" s="378"/>
    </row>
    <row r="52" spans="3:39" ht="18" customHeight="1">
      <c r="C52" s="522"/>
      <c r="D52" s="691"/>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9"/>
      <c r="AM52" s="378"/>
    </row>
    <row r="53" spans="3:39" ht="18" customHeight="1">
      <c r="C53" s="522"/>
      <c r="D53" s="691"/>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9"/>
      <c r="AM53" s="378"/>
    </row>
    <row r="54" spans="3:39" ht="18" customHeight="1">
      <c r="C54" s="522"/>
      <c r="D54" s="691"/>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9"/>
      <c r="AM54" s="378"/>
    </row>
    <row r="55" spans="3:39" ht="18" customHeight="1">
      <c r="C55" s="523"/>
      <c r="D55" s="691"/>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3"/>
      <c r="AK55" s="693"/>
      <c r="AL55" s="699"/>
      <c r="AM55" s="378"/>
    </row>
    <row r="56" spans="3:39" ht="18" customHeight="1">
      <c r="C56" s="524"/>
      <c r="D56" s="697"/>
      <c r="E56" s="698"/>
      <c r="F56" s="698"/>
      <c r="G56" s="698"/>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698"/>
      <c r="AI56" s="698"/>
      <c r="AJ56" s="698"/>
      <c r="AK56" s="698"/>
      <c r="AL56" s="700"/>
      <c r="AM56" s="378"/>
    </row>
    <row r="57" spans="1:74" s="219" customFormat="1" ht="10.5" customHeight="1">
      <c r="A57" s="407"/>
      <c r="B57" s="408"/>
      <c r="C57" s="50"/>
      <c r="D57" s="50"/>
      <c r="E57" s="50"/>
      <c r="F57" s="218"/>
      <c r="G57" s="161"/>
      <c r="H57" s="177"/>
      <c r="I57" s="165"/>
      <c r="J57" s="177"/>
      <c r="K57" s="165"/>
      <c r="L57" s="177"/>
      <c r="M57" s="165"/>
      <c r="N57" s="177"/>
      <c r="O57" s="165"/>
      <c r="P57" s="177"/>
      <c r="Q57" s="161"/>
      <c r="R57" s="177"/>
      <c r="S57" s="161"/>
      <c r="T57" s="177"/>
      <c r="U57" s="161"/>
      <c r="V57" s="177"/>
      <c r="W57" s="161"/>
      <c r="X57" s="177"/>
      <c r="Y57" s="161"/>
      <c r="Z57" s="191"/>
      <c r="AA57" s="161"/>
      <c r="AB57" s="177"/>
      <c r="AC57" s="165"/>
      <c r="AD57" s="177"/>
      <c r="AE57" s="161"/>
      <c r="AF57" s="177"/>
      <c r="AG57" s="161"/>
      <c r="AH57" s="183"/>
      <c r="AI57" s="163"/>
      <c r="AJ57" s="183"/>
      <c r="AM57" s="358"/>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c r="BT57" s="359"/>
      <c r="BU57" s="359"/>
      <c r="BV57" s="359"/>
    </row>
    <row r="58" spans="1:74" s="219" customFormat="1" ht="12.75">
      <c r="A58" s="407"/>
      <c r="B58" s="408"/>
      <c r="C58" s="50"/>
      <c r="D58" s="50"/>
      <c r="E58" s="50"/>
      <c r="F58" s="50"/>
      <c r="G58" s="161"/>
      <c r="H58" s="177"/>
      <c r="I58" s="165"/>
      <c r="J58" s="177"/>
      <c r="K58" s="165"/>
      <c r="L58" s="177"/>
      <c r="M58" s="165"/>
      <c r="N58" s="177"/>
      <c r="O58" s="165"/>
      <c r="P58" s="177"/>
      <c r="Q58" s="161"/>
      <c r="R58" s="177"/>
      <c r="S58" s="161"/>
      <c r="T58" s="177"/>
      <c r="U58" s="161"/>
      <c r="V58" s="177"/>
      <c r="W58" s="161"/>
      <c r="X58" s="177"/>
      <c r="Y58" s="161"/>
      <c r="Z58" s="191"/>
      <c r="AA58" s="161"/>
      <c r="AB58" s="177"/>
      <c r="AC58" s="165"/>
      <c r="AD58" s="177"/>
      <c r="AE58" s="161"/>
      <c r="AF58" s="177"/>
      <c r="AG58" s="161"/>
      <c r="AH58" s="183"/>
      <c r="AI58" s="163"/>
      <c r="AJ58" s="183"/>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row>
    <row r="59" spans="40:74" ht="12.75">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8"/>
      <c r="BR59" s="358"/>
      <c r="BS59" s="358"/>
      <c r="BT59" s="358"/>
      <c r="BU59" s="358"/>
      <c r="BV59" s="358"/>
    </row>
    <row r="60" spans="3:33" ht="12.75">
      <c r="C60" s="7"/>
      <c r="D60" s="7"/>
      <c r="E60" s="7"/>
      <c r="F60" s="7"/>
      <c r="G60" s="163"/>
      <c r="H60" s="183"/>
      <c r="I60" s="167"/>
      <c r="J60" s="183"/>
      <c r="K60" s="167"/>
      <c r="L60" s="183"/>
      <c r="M60" s="167"/>
      <c r="N60" s="183"/>
      <c r="O60" s="167"/>
      <c r="P60" s="183"/>
      <c r="Q60" s="163"/>
      <c r="R60" s="183"/>
      <c r="S60" s="163"/>
      <c r="T60" s="183"/>
      <c r="U60" s="163"/>
      <c r="V60" s="183"/>
      <c r="W60" s="163"/>
      <c r="X60" s="183"/>
      <c r="Y60" s="163"/>
      <c r="Z60" s="198"/>
      <c r="AA60" s="163"/>
      <c r="AB60" s="183"/>
      <c r="AC60" s="167"/>
      <c r="AD60" s="183"/>
      <c r="AE60" s="163"/>
      <c r="AF60" s="183"/>
      <c r="AG60" s="163"/>
    </row>
  </sheetData>
  <sheetProtection sheet="1" objects="1" scenarios="1" formatCells="0" formatColumns="0" formatRows="0" insertColumns="0"/>
  <mergeCells count="42">
    <mergeCell ref="V29:Y30"/>
    <mergeCell ref="D20:AL20"/>
    <mergeCell ref="D21:AL21"/>
    <mergeCell ref="D22:AL22"/>
    <mergeCell ref="AA28:AD28"/>
    <mergeCell ref="AD30:AH30"/>
    <mergeCell ref="AG28:AK28"/>
    <mergeCell ref="R28:T28"/>
    <mergeCell ref="D26:F26"/>
    <mergeCell ref="V26:Y26"/>
    <mergeCell ref="D37:AL37"/>
    <mergeCell ref="D40:AL40"/>
    <mergeCell ref="D41:AL41"/>
    <mergeCell ref="D35:AL35"/>
    <mergeCell ref="D36:AL36"/>
    <mergeCell ref="D55:AL55"/>
    <mergeCell ref="D56:AL56"/>
    <mergeCell ref="D52:AL52"/>
    <mergeCell ref="D53:AL53"/>
    <mergeCell ref="D54:AL54"/>
    <mergeCell ref="D42:AL42"/>
    <mergeCell ref="D38:AL38"/>
    <mergeCell ref="D39:AL39"/>
    <mergeCell ref="D47:AL47"/>
    <mergeCell ref="D43:AL43"/>
    <mergeCell ref="D51:AL51"/>
    <mergeCell ref="D44:AL44"/>
    <mergeCell ref="D45:AL45"/>
    <mergeCell ref="D46:AL46"/>
    <mergeCell ref="D48:AL48"/>
    <mergeCell ref="D49:AL49"/>
    <mergeCell ref="D50:AL50"/>
    <mergeCell ref="D34:AL34"/>
    <mergeCell ref="AN3:BV3"/>
    <mergeCell ref="AN6:BV6"/>
    <mergeCell ref="AN19:BV19"/>
    <mergeCell ref="V28:Y28"/>
    <mergeCell ref="V27:Y27"/>
    <mergeCell ref="C5:AG5"/>
    <mergeCell ref="D19:AL19"/>
    <mergeCell ref="D23:AL23"/>
    <mergeCell ref="D24:AL24"/>
  </mergeCells>
  <conditionalFormatting sqref="F10 N10 P10 R10 T10 V10 X10 AB10 AD10 AF10 AH10 H17 J17 F17 L17 N17 P17 R17 T17 V17 X17 Z17 AB17 AD17 AF17 AH17 AJ17 BY17 BW17 AJ10 H10 J10 L10 Z10">
    <cfRule type="cellIs" priority="1" dxfId="0" operator="lessThan" stopIfTrue="1">
      <formula>F8-F9</formula>
    </cfRule>
  </conditionalFormatting>
  <conditionalFormatting sqref="P15 N15 R15 T15 V15 X15 AD15 AB15 AF15 AH15 Z15 H15 J15 L15 F15 AJ15">
    <cfRule type="cellIs" priority="2" dxfId="0" operator="lessThan" stopIfTrue="1">
      <formula>F10+F11+F12+F13-F14</formula>
    </cfRule>
  </conditionalFormatting>
  <conditionalFormatting sqref="AQ23:BU23 AQ36:BU36">
    <cfRule type="cellIs" priority="3" dxfId="0" operator="equal" stopIfTrue="1">
      <formula>"&lt;&gt;"</formula>
    </cfRule>
  </conditionalFormatting>
  <conditionalFormatting sqref="AQ29:BU29">
    <cfRule type="cellIs" priority="4" dxfId="0" operator="equal" stopIfTrue="1">
      <formula>"&lt;&gt;"</formula>
    </cfRule>
    <cfRule type="cellIs" priority="5" dxfId="0" operator="equal" stopIfTrue="1">
      <formula>"8&lt;12"</formula>
    </cfRule>
  </conditionalFormatting>
  <conditionalFormatting sqref="AQ26:BU26">
    <cfRule type="cellIs" priority="6" dxfId="0" operator="equal" stopIfTrue="1">
      <formula>"&lt;&gt;"</formula>
    </cfRule>
    <cfRule type="cellIs" priority="7" dxfId="0" operator="equal" stopIfTrue="1">
      <formula>"3&gt;11"</formula>
    </cfRule>
  </conditionalFormatting>
  <conditionalFormatting sqref="AQ34:BU34">
    <cfRule type="cellIs" priority="8" dxfId="0" operator="equal" stopIfTrue="1">
      <formula>"&lt;&gt;"</formula>
    </cfRule>
    <cfRule type="cellIs" priority="9" dxfId="0" operator="equal" stopIfTrue="1">
      <formula>"10&gt;13"</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&amp;C&amp;"Arial,Regular"&amp;8Questionnaire UNSD/PNUE 2010 sur les Statistiques de l’environnement - Section d'eau - p.&amp;P</oddFooter>
  </headerFooter>
  <rowBreaks count="1" manualBreakCount="1">
    <brk id="30" min="2" max="37"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CJ62"/>
  <sheetViews>
    <sheetView showGridLines="0" zoomScale="83" zoomScaleNormal="83" zoomScaleSheetLayoutView="85" workbookViewId="0" topLeftCell="C1">
      <selection activeCell="B6" sqref="B6:D6"/>
    </sheetView>
  </sheetViews>
  <sheetFormatPr defaultColWidth="9.33203125" defaultRowHeight="12.75"/>
  <cols>
    <col min="1" max="1" width="0.328125" style="424" hidden="1" customWidth="1"/>
    <col min="2" max="2" width="4.66015625" style="398" hidden="1" customWidth="1"/>
    <col min="3" max="3" width="11.16015625" style="0" customWidth="1"/>
    <col min="4" max="4" width="40.5" style="0" customWidth="1"/>
    <col min="5" max="5" width="10.16015625" style="0" customWidth="1"/>
    <col min="6" max="6" width="7" style="0" customWidth="1"/>
    <col min="7" max="7" width="1.83203125" style="0" customWidth="1"/>
    <col min="8" max="8" width="7" style="161" customWidth="1"/>
    <col min="9" max="9" width="1.83203125" style="177" customWidth="1"/>
    <col min="10" max="10" width="7" style="165" hidden="1" customWidth="1"/>
    <col min="11" max="11" width="1.83203125" style="177" hidden="1" customWidth="1"/>
    <col min="12" max="12" width="7" style="165" hidden="1" customWidth="1"/>
    <col min="13" max="13" width="1.83203125" style="177" hidden="1" customWidth="1"/>
    <col min="14" max="14" width="7" style="165" hidden="1" customWidth="1"/>
    <col min="15" max="15" width="1.83203125" style="177" hidden="1" customWidth="1"/>
    <col min="16" max="16" width="7" style="165" hidden="1" customWidth="1"/>
    <col min="17" max="17" width="1.83203125" style="177" hidden="1" customWidth="1"/>
    <col min="18" max="18" width="7" style="161" customWidth="1"/>
    <col min="19" max="19" width="1.83203125" style="177" customWidth="1"/>
    <col min="20" max="20" width="7" style="161" customWidth="1"/>
    <col min="21" max="21" width="1.83203125" style="177" customWidth="1"/>
    <col min="22" max="22" width="7" style="161" customWidth="1"/>
    <col min="23" max="23" width="1.83203125" style="177" customWidth="1"/>
    <col min="24" max="24" width="7" style="161" customWidth="1"/>
    <col min="25" max="25" width="1.83203125" style="177" customWidth="1"/>
    <col min="26" max="26" width="7" style="161" customWidth="1"/>
    <col min="27" max="27" width="1.83203125" style="177" customWidth="1"/>
    <col min="28" max="28" width="7" style="161" customWidth="1"/>
    <col min="29" max="29" width="1.83203125" style="177" customWidth="1"/>
    <col min="30" max="30" width="7" style="165" customWidth="1"/>
    <col min="31" max="31" width="1.83203125" style="177" customWidth="1"/>
    <col min="32" max="32" width="7" style="161" customWidth="1"/>
    <col min="33" max="33" width="1.83203125" style="177" customWidth="1"/>
    <col min="34" max="34" width="7" style="161" customWidth="1"/>
    <col min="35" max="35" width="1.83203125" style="177" customWidth="1"/>
    <col min="36" max="36" width="7" style="161" customWidth="1"/>
    <col min="37" max="37" width="1.83203125" style="177" customWidth="1"/>
    <col min="38" max="38" width="1.83203125" style="0" customWidth="1"/>
    <col min="39" max="39" width="2.5" style="307" customWidth="1"/>
    <col min="40" max="40" width="8" style="307" customWidth="1"/>
    <col min="41" max="41" width="42.66015625" style="307" customWidth="1"/>
    <col min="42" max="42" width="9.66015625" style="307" customWidth="1"/>
    <col min="43" max="43" width="9.33203125" style="307" customWidth="1"/>
    <col min="44" max="44" width="1.83203125" style="307" customWidth="1"/>
    <col min="45" max="45" width="9.33203125" style="307" customWidth="1"/>
    <col min="46" max="46" width="1.83203125" style="307" customWidth="1"/>
    <col min="47" max="47" width="9.33203125" style="307" customWidth="1"/>
    <col min="48" max="48" width="1.83203125" style="307" customWidth="1"/>
    <col min="49" max="49" width="9.33203125" style="307" customWidth="1"/>
    <col min="50" max="50" width="1.83203125" style="307" customWidth="1"/>
    <col min="51" max="51" width="9.33203125" style="307" customWidth="1"/>
    <col min="52" max="52" width="1.83203125" style="307" customWidth="1"/>
    <col min="53" max="53" width="9.33203125" style="307" customWidth="1"/>
    <col min="54" max="54" width="1.83203125" style="307" customWidth="1"/>
    <col min="55" max="55" width="9.33203125" style="307" customWidth="1"/>
    <col min="56" max="56" width="1.83203125" style="307" customWidth="1"/>
    <col min="57" max="57" width="9.33203125" style="307" customWidth="1"/>
    <col min="58" max="58" width="1.83203125" style="307" customWidth="1"/>
    <col min="59" max="59" width="9.33203125" style="307" customWidth="1"/>
    <col min="60" max="60" width="1.83203125" style="307" customWidth="1"/>
    <col min="61" max="61" width="9.33203125" style="307" customWidth="1"/>
    <col min="62" max="62" width="1.83203125" style="307" customWidth="1"/>
    <col min="63" max="63" width="9.33203125" style="307" customWidth="1"/>
    <col min="64" max="64" width="1.83203125" style="307" customWidth="1"/>
    <col min="65" max="65" width="9.33203125" style="307" customWidth="1"/>
    <col min="66" max="66" width="1.83203125" style="307" customWidth="1"/>
    <col min="67" max="67" width="9.33203125" style="307" customWidth="1"/>
    <col min="68" max="68" width="1.83203125" style="307" customWidth="1"/>
    <col min="69" max="69" width="9.33203125" style="307" customWidth="1"/>
    <col min="70" max="70" width="1.83203125" style="307" customWidth="1"/>
    <col min="71" max="71" width="9.33203125" style="307" customWidth="1"/>
    <col min="72" max="72" width="1.83203125" style="307" customWidth="1"/>
    <col min="73" max="73" width="9.33203125" style="307" customWidth="1"/>
    <col min="74" max="74" width="1.83203125" style="307" customWidth="1"/>
  </cols>
  <sheetData>
    <row r="1" spans="1:74" s="50" customFormat="1" ht="14.25" customHeight="1">
      <c r="A1" s="401"/>
      <c r="B1" s="398">
        <v>0</v>
      </c>
      <c r="C1" s="113" t="s">
        <v>263</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6"/>
      <c r="AL1" s="556"/>
      <c r="AM1" s="419"/>
      <c r="AN1" s="437" t="s">
        <v>52</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4.5" customHeight="1">
      <c r="C2" s="80"/>
      <c r="D2" s="80"/>
      <c r="E2" s="1"/>
      <c r="F2" s="1"/>
      <c r="G2" s="172"/>
      <c r="H2" s="195"/>
      <c r="I2" s="173"/>
      <c r="J2" s="195"/>
      <c r="K2" s="173"/>
      <c r="L2" s="195"/>
      <c r="M2" s="173"/>
      <c r="N2" s="195"/>
      <c r="O2" s="173"/>
      <c r="P2" s="195"/>
      <c r="Q2" s="163"/>
      <c r="R2" s="177"/>
      <c r="S2" s="161"/>
      <c r="T2" s="177"/>
      <c r="U2" s="161"/>
      <c r="V2" s="177"/>
      <c r="W2" s="161"/>
      <c r="X2" s="177"/>
      <c r="Y2" s="161"/>
      <c r="Z2" s="177"/>
      <c r="AA2" s="161"/>
      <c r="AB2" s="177"/>
      <c r="AC2" s="165"/>
      <c r="AD2" s="177"/>
      <c r="AE2" s="161"/>
      <c r="AF2" s="177"/>
      <c r="AG2" s="161"/>
      <c r="AH2" s="177"/>
      <c r="AI2" s="161"/>
      <c r="AJ2" s="177"/>
      <c r="AK2" s="80"/>
      <c r="AL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6" s="276" customFormat="1" ht="25.5" customHeight="1">
      <c r="A3" s="400"/>
      <c r="B3" s="400"/>
      <c r="C3" s="127" t="s">
        <v>57</v>
      </c>
      <c r="D3" s="603"/>
      <c r="E3" s="587"/>
      <c r="F3" s="588"/>
      <c r="G3" s="163"/>
      <c r="H3" s="183"/>
      <c r="I3" s="167"/>
      <c r="J3" s="183"/>
      <c r="K3" s="167"/>
      <c r="L3" s="183"/>
      <c r="M3" s="167"/>
      <c r="N3" s="183"/>
      <c r="O3" s="167"/>
      <c r="P3" s="183"/>
      <c r="Q3" s="163"/>
      <c r="R3" s="183"/>
      <c r="S3" s="163"/>
      <c r="T3" s="183"/>
      <c r="U3" s="163"/>
      <c r="V3" s="274"/>
      <c r="W3" s="127" t="s">
        <v>32</v>
      </c>
      <c r="X3" s="188"/>
      <c r="Y3" s="169"/>
      <c r="Z3" s="188"/>
      <c r="AA3" s="171"/>
      <c r="AB3" s="188"/>
      <c r="AC3" s="169"/>
      <c r="AD3" s="188"/>
      <c r="AE3" s="169"/>
      <c r="AF3" s="188"/>
      <c r="AG3" s="169"/>
      <c r="AH3" s="188"/>
      <c r="AI3" s="13"/>
      <c r="AJ3" s="589"/>
      <c r="AK3" s="589"/>
      <c r="AL3" s="589"/>
      <c r="AM3" s="360"/>
      <c r="AN3" s="689" t="s">
        <v>53</v>
      </c>
      <c r="AO3" s="689"/>
      <c r="AP3" s="689"/>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277"/>
      <c r="BX3" s="277"/>
    </row>
    <row r="4" spans="5:74" ht="9.75" customHeight="1">
      <c r="E4" s="3"/>
      <c r="F4" s="3"/>
      <c r="G4" s="3"/>
      <c r="Z4" s="163"/>
      <c r="AA4" s="183"/>
      <c r="AB4" s="163"/>
      <c r="AC4" s="183"/>
      <c r="AD4" s="167"/>
      <c r="AE4" s="183"/>
      <c r="AF4" s="225"/>
      <c r="AG4" s="226"/>
      <c r="AH4" s="163"/>
      <c r="AI4" s="183"/>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1:74" s="50" customFormat="1" ht="17.25" customHeight="1">
      <c r="A5" s="401"/>
      <c r="B5" s="398">
        <v>18</v>
      </c>
      <c r="C5" s="653" t="s">
        <v>91</v>
      </c>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419"/>
      <c r="AN5" s="480" t="s">
        <v>54</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s="215" customFormat="1" ht="25.5" customHeight="1">
      <c r="A6" s="399"/>
      <c r="B6" s="398"/>
      <c r="C6" s="80"/>
      <c r="D6" s="80"/>
      <c r="E6" s="2"/>
      <c r="F6" s="2"/>
      <c r="G6" s="161"/>
      <c r="H6" s="177"/>
      <c r="I6" s="165"/>
      <c r="J6" s="177"/>
      <c r="K6" s="165"/>
      <c r="L6" s="177"/>
      <c r="M6" s="165"/>
      <c r="N6" s="177"/>
      <c r="O6" s="165"/>
      <c r="P6" s="177"/>
      <c r="Q6" s="161"/>
      <c r="R6" s="590" t="s">
        <v>34</v>
      </c>
      <c r="S6" s="161"/>
      <c r="T6" s="262"/>
      <c r="U6" s="263"/>
      <c r="V6" s="262"/>
      <c r="W6" s="264"/>
      <c r="X6" s="262"/>
      <c r="Y6" s="264"/>
      <c r="Z6" s="262"/>
      <c r="AA6" s="265"/>
      <c r="AB6" s="177"/>
      <c r="AC6" s="161"/>
      <c r="AD6" s="349"/>
      <c r="AE6" s="349"/>
      <c r="AF6" s="349"/>
      <c r="AG6" s="349"/>
      <c r="AH6" s="349"/>
      <c r="AI6" s="349"/>
      <c r="AJ6" s="349"/>
      <c r="AK6" s="350" t="s">
        <v>35</v>
      </c>
      <c r="AL6" s="8"/>
      <c r="AM6" s="419"/>
      <c r="AN6" s="690" t="s">
        <v>80</v>
      </c>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0"/>
      <c r="BU6" s="690"/>
      <c r="BV6" s="690"/>
    </row>
    <row r="7" spans="1:74" s="16" customFormat="1" ht="21" customHeight="1">
      <c r="A7" s="403"/>
      <c r="B7" s="402">
        <v>2</v>
      </c>
      <c r="C7" s="64" t="s">
        <v>36</v>
      </c>
      <c r="D7" s="64" t="s">
        <v>37</v>
      </c>
      <c r="E7" s="63" t="s">
        <v>38</v>
      </c>
      <c r="F7" s="135">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M7" s="375"/>
      <c r="AN7" s="63" t="s">
        <v>157</v>
      </c>
      <c r="AO7" s="63" t="s">
        <v>164</v>
      </c>
      <c r="AP7" s="64" t="s">
        <v>166</v>
      </c>
      <c r="AQ7" s="135">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1:74" s="74" customFormat="1" ht="32.25" customHeight="1">
      <c r="A8" s="403" t="s">
        <v>626</v>
      </c>
      <c r="B8" s="425">
        <v>278</v>
      </c>
      <c r="C8" s="70">
        <v>1</v>
      </c>
      <c r="D8" s="220" t="s">
        <v>92</v>
      </c>
      <c r="E8" s="593" t="s">
        <v>40</v>
      </c>
      <c r="F8" s="535"/>
      <c r="G8" s="526"/>
      <c r="H8" s="535"/>
      <c r="I8" s="526"/>
      <c r="J8" s="535"/>
      <c r="K8" s="526"/>
      <c r="L8" s="535"/>
      <c r="M8" s="526"/>
      <c r="N8" s="535"/>
      <c r="O8" s="526"/>
      <c r="P8" s="535"/>
      <c r="Q8" s="526"/>
      <c r="R8" s="535"/>
      <c r="S8" s="526"/>
      <c r="T8" s="535"/>
      <c r="U8" s="526"/>
      <c r="V8" s="535"/>
      <c r="W8" s="526"/>
      <c r="X8" s="535"/>
      <c r="Y8" s="526"/>
      <c r="Z8" s="535"/>
      <c r="AA8" s="526"/>
      <c r="AB8" s="535"/>
      <c r="AC8" s="526"/>
      <c r="AD8" s="535"/>
      <c r="AE8" s="526"/>
      <c r="AF8" s="535"/>
      <c r="AG8" s="526"/>
      <c r="AH8" s="535"/>
      <c r="AI8" s="526"/>
      <c r="AJ8" s="535"/>
      <c r="AK8" s="526"/>
      <c r="AM8" s="375"/>
      <c r="AN8" s="379">
        <v>1</v>
      </c>
      <c r="AO8" s="389" t="s">
        <v>535</v>
      </c>
      <c r="AP8" s="310" t="s">
        <v>169</v>
      </c>
      <c r="AQ8" s="370" t="s">
        <v>644</v>
      </c>
      <c r="AR8" s="313"/>
      <c r="AS8" s="325" t="str">
        <f>IF(OR(ISBLANK(F8),ISBLANK(H8)),"N/A",IF(ABS((H8-F8)/F8)&gt;1,"&gt; 100%","ok"))</f>
        <v>N/A</v>
      </c>
      <c r="AT8" s="313"/>
      <c r="AU8" s="325" t="str">
        <f>IF(OR(ISBLANK(H8),ISBLANK(J8)),"N/A",IF(ABS((J8-H8)/H8)&gt;0.25,"&gt; 25%","ok"))</f>
        <v>N/A</v>
      </c>
      <c r="AV8" s="325"/>
      <c r="AW8" s="325" t="str">
        <f>IF(OR(ISBLANK(J8),ISBLANK(L8)),"N/A",IF(ABS((L8-J8)/J8)&gt;0.25,"&gt; 25%","ok"))</f>
        <v>N/A</v>
      </c>
      <c r="AX8" s="325"/>
      <c r="AY8" s="325" t="str">
        <f>IF(OR(ISBLANK(L8),ISBLANK(N8)),"N/A",IF(ABS((N8-L8)/L8)&gt;0.25,"&gt; 25%","ok"))</f>
        <v>N/A</v>
      </c>
      <c r="AZ8" s="325"/>
      <c r="BA8" s="325" t="str">
        <f>IF(OR(ISBLANK(N8),ISBLANK(P8)),"N/A",IF(ABS((P8-N8)/N8)&gt;0.25,"&gt; 25%","ok"))</f>
        <v>N/A</v>
      </c>
      <c r="BB8" s="325"/>
      <c r="BC8" s="325" t="str">
        <f>IF(OR(ISBLANK(P8),ISBLANK(R8)),"N/A",IF(ABS((R8-P8)/P8)&gt;0.25,"&gt; 25%","ok"))</f>
        <v>N/A</v>
      </c>
      <c r="BD8" s="325"/>
      <c r="BE8" s="325" t="str">
        <f>IF(OR(ISBLANK(R8),ISBLANK(T8)),"N/A",IF(ABS((T8-R8)/R8)&gt;0.25,"&gt; 25%","ok"))</f>
        <v>N/A</v>
      </c>
      <c r="BF8" s="325"/>
      <c r="BG8" s="325" t="str">
        <f>IF(OR(ISBLANK(T8),ISBLANK(V8)),"N/A",IF(ABS((V8-T8)/T8)&gt;0.25,"&gt; 25%","ok"))</f>
        <v>N/A</v>
      </c>
      <c r="BH8" s="325"/>
      <c r="BI8" s="325" t="str">
        <f>IF(OR(ISBLANK(V8),ISBLANK(X8)),"N/A",IF(ABS((X8-V8)/V8)&gt;0.25,"&gt; 25%","ok"))</f>
        <v>N/A</v>
      </c>
      <c r="BJ8" s="325"/>
      <c r="BK8" s="325" t="str">
        <f>IF(OR(ISBLANK(X8),ISBLANK(Z8)),"N/A",IF(ABS((Z8-X8)/X8)&gt;0.25,"&gt; 25%","ok"))</f>
        <v>N/A</v>
      </c>
      <c r="BL8" s="325"/>
      <c r="BM8" s="325" t="str">
        <f>IF(OR(ISBLANK(Z8),ISBLANK(AB8)),"N/A",IF(ABS((AB8-Z8)/Z8)&gt;0.25,"&gt; 25%","ok"))</f>
        <v>N/A</v>
      </c>
      <c r="BN8" s="325"/>
      <c r="BO8" s="325" t="str">
        <f>IF(OR(ISBLANK(AB8),ISBLANK(AD8)),"N/A",IF(ABS((AD8-AB8)/AB8)&gt;0.25,"&gt; 25%","ok"))</f>
        <v>N/A</v>
      </c>
      <c r="BP8" s="325"/>
      <c r="BQ8" s="325" t="str">
        <f>IF(OR(ISBLANK(AD8),ISBLANK(AF8)),"N/A",IF(ABS((AF8-AD8)/AD8)&gt;0.25,"&gt; 25%","ok"))</f>
        <v>N/A</v>
      </c>
      <c r="BR8" s="325"/>
      <c r="BS8" s="325" t="str">
        <f>IF(OR(ISBLANK(AF8),ISBLANK(AH8)),"N/A",IF(ABS((AH8-AF8)/AF8)&gt;0.25,"&gt; 25%","ok"))</f>
        <v>N/A</v>
      </c>
      <c r="BT8" s="325"/>
      <c r="BU8" s="325" t="str">
        <f>IF(OR(ISBLANK(AH8),ISBLANK(AJ8)),"N/A",IF(ABS((AJ8-AH8)/AH8)&gt;0.25,"&gt; 25%","ok"))</f>
        <v>N/A</v>
      </c>
      <c r="BV8" s="325"/>
    </row>
    <row r="9" spans="1:74" s="24" customFormat="1" ht="20.25" customHeight="1">
      <c r="A9" s="424"/>
      <c r="B9" s="425">
        <v>5010</v>
      </c>
      <c r="C9" s="26"/>
      <c r="D9" s="595" t="s">
        <v>93</v>
      </c>
      <c r="E9" s="26"/>
      <c r="F9" s="527"/>
      <c r="G9" s="528"/>
      <c r="H9" s="529"/>
      <c r="I9" s="528"/>
      <c r="J9" s="529"/>
      <c r="K9" s="528"/>
      <c r="L9" s="529"/>
      <c r="M9" s="528"/>
      <c r="N9" s="529"/>
      <c r="O9" s="528"/>
      <c r="P9" s="527"/>
      <c r="Q9" s="528"/>
      <c r="R9" s="527"/>
      <c r="S9" s="528"/>
      <c r="T9" s="527"/>
      <c r="U9" s="528"/>
      <c r="V9" s="527"/>
      <c r="W9" s="528"/>
      <c r="X9" s="527"/>
      <c r="Y9" s="528"/>
      <c r="Z9" s="527"/>
      <c r="AA9" s="528"/>
      <c r="AB9" s="529"/>
      <c r="AC9" s="528"/>
      <c r="AD9" s="527"/>
      <c r="AE9" s="528"/>
      <c r="AF9" s="527"/>
      <c r="AG9" s="528"/>
      <c r="AH9" s="527"/>
      <c r="AI9" s="528"/>
      <c r="AJ9" s="527"/>
      <c r="AK9" s="528"/>
      <c r="AM9" s="307"/>
      <c r="AN9" s="60"/>
      <c r="AO9" s="76" t="s">
        <v>154</v>
      </c>
      <c r="AP9" s="60"/>
      <c r="AQ9" s="370"/>
      <c r="AR9" s="192"/>
      <c r="AS9" s="325"/>
      <c r="AT9" s="192"/>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row>
    <row r="10" spans="1:74" s="24" customFormat="1" ht="27.75" customHeight="1">
      <c r="A10" s="424"/>
      <c r="B10" s="425">
        <v>279</v>
      </c>
      <c r="C10" s="26">
        <v>2</v>
      </c>
      <c r="D10" s="513" t="s">
        <v>94</v>
      </c>
      <c r="E10" s="25" t="s">
        <v>40</v>
      </c>
      <c r="F10" s="527"/>
      <c r="G10" s="528"/>
      <c r="H10" s="529"/>
      <c r="I10" s="528"/>
      <c r="J10" s="529"/>
      <c r="K10" s="528"/>
      <c r="L10" s="529"/>
      <c r="M10" s="528"/>
      <c r="N10" s="529"/>
      <c r="O10" s="528"/>
      <c r="P10" s="527"/>
      <c r="Q10" s="528"/>
      <c r="R10" s="527"/>
      <c r="S10" s="528"/>
      <c r="T10" s="527"/>
      <c r="U10" s="528"/>
      <c r="V10" s="527"/>
      <c r="W10" s="528"/>
      <c r="X10" s="527"/>
      <c r="Y10" s="528"/>
      <c r="Z10" s="527"/>
      <c r="AA10" s="528"/>
      <c r="AB10" s="529"/>
      <c r="AC10" s="528"/>
      <c r="AD10" s="527"/>
      <c r="AE10" s="528"/>
      <c r="AF10" s="527"/>
      <c r="AG10" s="528"/>
      <c r="AH10" s="527"/>
      <c r="AI10" s="528"/>
      <c r="AJ10" s="527"/>
      <c r="AK10" s="528"/>
      <c r="AM10" s="307"/>
      <c r="AN10" s="60">
        <v>2</v>
      </c>
      <c r="AO10" s="380" t="s">
        <v>655</v>
      </c>
      <c r="AP10" s="60" t="s">
        <v>169</v>
      </c>
      <c r="AQ10" s="370" t="s">
        <v>644</v>
      </c>
      <c r="AR10" s="192"/>
      <c r="AS10" s="325" t="str">
        <f aca="true" t="shared" si="0" ref="AS10:AS15">IF(OR(ISBLANK(F10),ISBLANK(H10)),"N/A",IF(ABS((H10-F10)/F10)&gt;1,"&gt; 100%","ok"))</f>
        <v>N/A</v>
      </c>
      <c r="AT10" s="313"/>
      <c r="AU10" s="325" t="str">
        <f aca="true" t="shared" si="1" ref="AU10:AU15">IF(OR(ISBLANK(H10),ISBLANK(J10)),"N/A",IF(ABS((J10-H10)/H10)&gt;0.25,"&gt; 25%","ok"))</f>
        <v>N/A</v>
      </c>
      <c r="AV10" s="325"/>
      <c r="AW10" s="325" t="str">
        <f aca="true" t="shared" si="2" ref="AW10:AW15">IF(OR(ISBLANK(J10),ISBLANK(L10)),"N/A",IF(ABS((L10-J10)/J10)&gt;0.25,"&gt; 25%","ok"))</f>
        <v>N/A</v>
      </c>
      <c r="AX10" s="325"/>
      <c r="AY10" s="325" t="str">
        <f aca="true" t="shared" si="3" ref="AY10:AY15">IF(OR(ISBLANK(L10),ISBLANK(N10)),"N/A",IF(ABS((N10-L10)/L10)&gt;0.25,"&gt; 25%","ok"))</f>
        <v>N/A</v>
      </c>
      <c r="AZ10" s="325"/>
      <c r="BA10" s="325" t="str">
        <f aca="true" t="shared" si="4" ref="BA10:BA15">IF(OR(ISBLANK(N10),ISBLANK(P10)),"N/A",IF(ABS((P10-N10)/N10)&gt;0.25,"&gt; 25%","ok"))</f>
        <v>N/A</v>
      </c>
      <c r="BB10" s="325"/>
      <c r="BC10" s="325" t="str">
        <f aca="true" t="shared" si="5" ref="BC10:BC15">IF(OR(ISBLANK(P10),ISBLANK(R10)),"N/A",IF(ABS((R10-P10)/P10)&gt;0.25,"&gt; 25%","ok"))</f>
        <v>N/A</v>
      </c>
      <c r="BD10" s="325"/>
      <c r="BE10" s="325" t="str">
        <f aca="true" t="shared" si="6" ref="BE10:BE15">IF(OR(ISBLANK(R10),ISBLANK(T10)),"N/A",IF(ABS((T10-R10)/R10)&gt;0.25,"&gt; 25%","ok"))</f>
        <v>N/A</v>
      </c>
      <c r="BF10" s="325"/>
      <c r="BG10" s="325" t="str">
        <f aca="true" t="shared" si="7" ref="BG10:BG15">IF(OR(ISBLANK(T10),ISBLANK(V10)),"N/A",IF(ABS((V10-T10)/T10)&gt;0.25,"&gt; 25%","ok"))</f>
        <v>N/A</v>
      </c>
      <c r="BH10" s="325"/>
      <c r="BI10" s="325" t="str">
        <f aca="true" t="shared" si="8" ref="BI10:BI15">IF(OR(ISBLANK(V10),ISBLANK(X10)),"N/A",IF(ABS((X10-V10)/V10)&gt;0.25,"&gt; 25%","ok"))</f>
        <v>N/A</v>
      </c>
      <c r="BJ10" s="325"/>
      <c r="BK10" s="325" t="str">
        <f aca="true" t="shared" si="9" ref="BK10:BK15">IF(OR(ISBLANK(X10),ISBLANK(Z10)),"N/A",IF(ABS((Z10-X10)/X10)&gt;0.25,"&gt; 25%","ok"))</f>
        <v>N/A</v>
      </c>
      <c r="BL10" s="325"/>
      <c r="BM10" s="325" t="str">
        <f aca="true" t="shared" si="10" ref="BM10:BM15">IF(OR(ISBLANK(Z10),ISBLANK(AB10)),"N/A",IF(ABS((AB10-Z10)/Z10)&gt;0.25,"&gt; 25%","ok"))</f>
        <v>N/A</v>
      </c>
      <c r="BN10" s="325"/>
      <c r="BO10" s="325" t="str">
        <f aca="true" t="shared" si="11" ref="BO10:BO15">IF(OR(ISBLANK(AB10),ISBLANK(AD10)),"N/A",IF(ABS((AD10-AB10)/AB10)&gt;0.25,"&gt; 25%","ok"))</f>
        <v>N/A</v>
      </c>
      <c r="BP10" s="325"/>
      <c r="BQ10" s="325" t="str">
        <f aca="true" t="shared" si="12" ref="BQ10:BQ15">IF(OR(ISBLANK(AD10),ISBLANK(AF10)),"N/A",IF(ABS((AF10-AD10)/AD10)&gt;0.25,"&gt; 25%","ok"))</f>
        <v>N/A</v>
      </c>
      <c r="BR10" s="325"/>
      <c r="BS10" s="325" t="str">
        <f aca="true" t="shared" si="13" ref="BS10:BS15">IF(OR(ISBLANK(AF10),ISBLANK(AH10)),"N/A",IF(ABS((AH10-AF10)/AF10)&gt;0.25,"&gt; 25%","ok"))</f>
        <v>N/A</v>
      </c>
      <c r="BT10" s="325"/>
      <c r="BU10" s="325" t="str">
        <f aca="true" t="shared" si="14" ref="BU10:BU15">IF(OR(ISBLANK(AH10),ISBLANK(AJ10)),"N/A",IF(ABS((AJ10-AH10)/AH10)&gt;0.25,"&gt; 25%","ok"))</f>
        <v>N/A</v>
      </c>
      <c r="BV10" s="325"/>
    </row>
    <row r="11" spans="1:74" s="24" customFormat="1" ht="28.5" customHeight="1">
      <c r="A11" s="424"/>
      <c r="B11" s="425">
        <v>280</v>
      </c>
      <c r="C11" s="26">
        <v>3</v>
      </c>
      <c r="D11" s="514" t="s">
        <v>95</v>
      </c>
      <c r="E11" s="25" t="s">
        <v>40</v>
      </c>
      <c r="F11" s="527"/>
      <c r="G11" s="528"/>
      <c r="H11" s="527"/>
      <c r="I11" s="528"/>
      <c r="J11" s="527"/>
      <c r="K11" s="528"/>
      <c r="L11" s="527"/>
      <c r="M11" s="528"/>
      <c r="N11" s="527"/>
      <c r="O11" s="528"/>
      <c r="P11" s="527"/>
      <c r="Q11" s="528"/>
      <c r="R11" s="527"/>
      <c r="S11" s="528"/>
      <c r="T11" s="527"/>
      <c r="U11" s="528"/>
      <c r="V11" s="527"/>
      <c r="W11" s="528"/>
      <c r="X11" s="527"/>
      <c r="Y11" s="528"/>
      <c r="Z11" s="527"/>
      <c r="AA11" s="528"/>
      <c r="AB11" s="527"/>
      <c r="AC11" s="528"/>
      <c r="AD11" s="527"/>
      <c r="AE11" s="528"/>
      <c r="AF11" s="527"/>
      <c r="AG11" s="528"/>
      <c r="AH11" s="527"/>
      <c r="AI11" s="528"/>
      <c r="AJ11" s="527"/>
      <c r="AK11" s="528"/>
      <c r="AM11" s="307"/>
      <c r="AN11" s="60">
        <v>3</v>
      </c>
      <c r="AO11" s="381" t="s">
        <v>656</v>
      </c>
      <c r="AP11" s="60" t="s">
        <v>169</v>
      </c>
      <c r="AQ11" s="370" t="s">
        <v>644</v>
      </c>
      <c r="AR11" s="192"/>
      <c r="AS11" s="325" t="str">
        <f t="shared" si="0"/>
        <v>N/A</v>
      </c>
      <c r="AT11" s="313"/>
      <c r="AU11" s="325" t="str">
        <f t="shared" si="1"/>
        <v>N/A</v>
      </c>
      <c r="AV11" s="325"/>
      <c r="AW11" s="325" t="str">
        <f t="shared" si="2"/>
        <v>N/A</v>
      </c>
      <c r="AX11" s="325"/>
      <c r="AY11" s="325" t="str">
        <f t="shared" si="3"/>
        <v>N/A</v>
      </c>
      <c r="AZ11" s="325"/>
      <c r="BA11" s="325" t="str">
        <f t="shared" si="4"/>
        <v>N/A</v>
      </c>
      <c r="BB11" s="325"/>
      <c r="BC11" s="325" t="str">
        <f t="shared" si="5"/>
        <v>N/A</v>
      </c>
      <c r="BD11" s="325"/>
      <c r="BE11" s="325" t="str">
        <f t="shared" si="6"/>
        <v>N/A</v>
      </c>
      <c r="BF11" s="325"/>
      <c r="BG11" s="325" t="str">
        <f t="shared" si="7"/>
        <v>N/A</v>
      </c>
      <c r="BH11" s="325"/>
      <c r="BI11" s="325" t="str">
        <f t="shared" si="8"/>
        <v>N/A</v>
      </c>
      <c r="BJ11" s="325"/>
      <c r="BK11" s="325" t="str">
        <f t="shared" si="9"/>
        <v>N/A</v>
      </c>
      <c r="BL11" s="325"/>
      <c r="BM11" s="325" t="str">
        <f t="shared" si="10"/>
        <v>N/A</v>
      </c>
      <c r="BN11" s="325"/>
      <c r="BO11" s="325" t="str">
        <f t="shared" si="11"/>
        <v>N/A</v>
      </c>
      <c r="BP11" s="325"/>
      <c r="BQ11" s="325" t="str">
        <f t="shared" si="12"/>
        <v>N/A</v>
      </c>
      <c r="BR11" s="325"/>
      <c r="BS11" s="325" t="str">
        <f t="shared" si="13"/>
        <v>N/A</v>
      </c>
      <c r="BT11" s="325"/>
      <c r="BU11" s="325" t="str">
        <f t="shared" si="14"/>
        <v>N/A</v>
      </c>
      <c r="BV11" s="325"/>
    </row>
    <row r="12" spans="1:74" s="24" customFormat="1" ht="28.5" customHeight="1">
      <c r="A12" s="424"/>
      <c r="B12" s="425">
        <v>281</v>
      </c>
      <c r="C12" s="26">
        <v>4</v>
      </c>
      <c r="D12" s="75" t="s">
        <v>96</v>
      </c>
      <c r="E12" s="25" t="s">
        <v>40</v>
      </c>
      <c r="F12" s="527"/>
      <c r="G12" s="528"/>
      <c r="H12" s="529"/>
      <c r="I12" s="528"/>
      <c r="J12" s="529"/>
      <c r="K12" s="528"/>
      <c r="L12" s="529"/>
      <c r="M12" s="528"/>
      <c r="N12" s="529"/>
      <c r="O12" s="528"/>
      <c r="P12" s="527"/>
      <c r="Q12" s="528"/>
      <c r="R12" s="527"/>
      <c r="S12" s="528"/>
      <c r="T12" s="527"/>
      <c r="U12" s="528"/>
      <c r="V12" s="527"/>
      <c r="W12" s="528"/>
      <c r="X12" s="527"/>
      <c r="Y12" s="528"/>
      <c r="Z12" s="527"/>
      <c r="AA12" s="528"/>
      <c r="AB12" s="529"/>
      <c r="AC12" s="528"/>
      <c r="AD12" s="527"/>
      <c r="AE12" s="528"/>
      <c r="AF12" s="527"/>
      <c r="AG12" s="528"/>
      <c r="AH12" s="527"/>
      <c r="AI12" s="528"/>
      <c r="AJ12" s="527"/>
      <c r="AK12" s="528"/>
      <c r="AM12" s="307"/>
      <c r="AN12" s="60">
        <v>4</v>
      </c>
      <c r="AO12" s="382" t="s">
        <v>546</v>
      </c>
      <c r="AP12" s="60" t="s">
        <v>169</v>
      </c>
      <c r="AQ12" s="370" t="s">
        <v>644</v>
      </c>
      <c r="AR12" s="192"/>
      <c r="AS12" s="325" t="str">
        <f t="shared" si="0"/>
        <v>N/A</v>
      </c>
      <c r="AT12" s="313"/>
      <c r="AU12" s="325" t="str">
        <f t="shared" si="1"/>
        <v>N/A</v>
      </c>
      <c r="AV12" s="325"/>
      <c r="AW12" s="325" t="str">
        <f t="shared" si="2"/>
        <v>N/A</v>
      </c>
      <c r="AX12" s="325"/>
      <c r="AY12" s="325" t="str">
        <f t="shared" si="3"/>
        <v>N/A</v>
      </c>
      <c r="AZ12" s="325"/>
      <c r="BA12" s="325" t="str">
        <f t="shared" si="4"/>
        <v>N/A</v>
      </c>
      <c r="BB12" s="325"/>
      <c r="BC12" s="325" t="str">
        <f t="shared" si="5"/>
        <v>N/A</v>
      </c>
      <c r="BD12" s="325"/>
      <c r="BE12" s="325" t="str">
        <f t="shared" si="6"/>
        <v>N/A</v>
      </c>
      <c r="BF12" s="325"/>
      <c r="BG12" s="325" t="str">
        <f t="shared" si="7"/>
        <v>N/A</v>
      </c>
      <c r="BH12" s="325"/>
      <c r="BI12" s="325" t="str">
        <f t="shared" si="8"/>
        <v>N/A</v>
      </c>
      <c r="BJ12" s="325"/>
      <c r="BK12" s="325" t="str">
        <f t="shared" si="9"/>
        <v>N/A</v>
      </c>
      <c r="BL12" s="325"/>
      <c r="BM12" s="325" t="str">
        <f t="shared" si="10"/>
        <v>N/A</v>
      </c>
      <c r="BN12" s="325"/>
      <c r="BO12" s="325" t="str">
        <f t="shared" si="11"/>
        <v>N/A</v>
      </c>
      <c r="BP12" s="325"/>
      <c r="BQ12" s="325" t="str">
        <f t="shared" si="12"/>
        <v>N/A</v>
      </c>
      <c r="BR12" s="325"/>
      <c r="BS12" s="325" t="str">
        <f t="shared" si="13"/>
        <v>N/A</v>
      </c>
      <c r="BT12" s="325"/>
      <c r="BU12" s="325" t="str">
        <f t="shared" si="14"/>
        <v>N/A</v>
      </c>
      <c r="BV12" s="325"/>
    </row>
    <row r="13" spans="1:74" s="24" customFormat="1" ht="28.5" customHeight="1">
      <c r="A13" s="424"/>
      <c r="B13" s="425">
        <v>282</v>
      </c>
      <c r="C13" s="26">
        <v>5</v>
      </c>
      <c r="D13" s="514" t="s">
        <v>97</v>
      </c>
      <c r="E13" s="25" t="s">
        <v>40</v>
      </c>
      <c r="F13" s="527"/>
      <c r="G13" s="528"/>
      <c r="H13" s="529"/>
      <c r="I13" s="528"/>
      <c r="J13" s="529"/>
      <c r="K13" s="528"/>
      <c r="L13" s="529"/>
      <c r="M13" s="528"/>
      <c r="N13" s="529"/>
      <c r="O13" s="528"/>
      <c r="P13" s="527"/>
      <c r="Q13" s="528"/>
      <c r="R13" s="527"/>
      <c r="S13" s="528"/>
      <c r="T13" s="527"/>
      <c r="U13" s="528"/>
      <c r="V13" s="527"/>
      <c r="W13" s="528"/>
      <c r="X13" s="527"/>
      <c r="Y13" s="528"/>
      <c r="Z13" s="527"/>
      <c r="AA13" s="528"/>
      <c r="AB13" s="529"/>
      <c r="AC13" s="528"/>
      <c r="AD13" s="527"/>
      <c r="AE13" s="528"/>
      <c r="AF13" s="527"/>
      <c r="AG13" s="528"/>
      <c r="AH13" s="527"/>
      <c r="AI13" s="528"/>
      <c r="AJ13" s="527"/>
      <c r="AK13" s="528"/>
      <c r="AM13" s="307"/>
      <c r="AN13" s="60">
        <v>5</v>
      </c>
      <c r="AO13" s="381" t="s">
        <v>657</v>
      </c>
      <c r="AP13" s="60" t="s">
        <v>169</v>
      </c>
      <c r="AQ13" s="370" t="s">
        <v>644</v>
      </c>
      <c r="AR13" s="192"/>
      <c r="AS13" s="325" t="str">
        <f t="shared" si="0"/>
        <v>N/A</v>
      </c>
      <c r="AT13" s="313"/>
      <c r="AU13" s="325" t="str">
        <f t="shared" si="1"/>
        <v>N/A</v>
      </c>
      <c r="AV13" s="325"/>
      <c r="AW13" s="325" t="str">
        <f t="shared" si="2"/>
        <v>N/A</v>
      </c>
      <c r="AX13" s="325"/>
      <c r="AY13" s="325" t="str">
        <f t="shared" si="3"/>
        <v>N/A</v>
      </c>
      <c r="AZ13" s="325"/>
      <c r="BA13" s="325" t="str">
        <f t="shared" si="4"/>
        <v>N/A</v>
      </c>
      <c r="BB13" s="325"/>
      <c r="BC13" s="325" t="str">
        <f t="shared" si="5"/>
        <v>N/A</v>
      </c>
      <c r="BD13" s="325"/>
      <c r="BE13" s="325" t="str">
        <f t="shared" si="6"/>
        <v>N/A</v>
      </c>
      <c r="BF13" s="325"/>
      <c r="BG13" s="325" t="str">
        <f t="shared" si="7"/>
        <v>N/A</v>
      </c>
      <c r="BH13" s="325"/>
      <c r="BI13" s="325" t="str">
        <f t="shared" si="8"/>
        <v>N/A</v>
      </c>
      <c r="BJ13" s="325"/>
      <c r="BK13" s="325" t="str">
        <f t="shared" si="9"/>
        <v>N/A</v>
      </c>
      <c r="BL13" s="325"/>
      <c r="BM13" s="325" t="str">
        <f t="shared" si="10"/>
        <v>N/A</v>
      </c>
      <c r="BN13" s="325"/>
      <c r="BO13" s="325" t="str">
        <f t="shared" si="11"/>
        <v>N/A</v>
      </c>
      <c r="BP13" s="325"/>
      <c r="BQ13" s="325" t="str">
        <f t="shared" si="12"/>
        <v>N/A</v>
      </c>
      <c r="BR13" s="325"/>
      <c r="BS13" s="325" t="str">
        <f t="shared" si="13"/>
        <v>N/A</v>
      </c>
      <c r="BT13" s="325"/>
      <c r="BU13" s="325" t="str">
        <f t="shared" si="14"/>
        <v>N/A</v>
      </c>
      <c r="BV13" s="325"/>
    </row>
    <row r="14" spans="1:74" s="24" customFormat="1" ht="27.75" customHeight="1">
      <c r="A14" s="424"/>
      <c r="B14" s="425">
        <v>283</v>
      </c>
      <c r="C14" s="26">
        <v>6</v>
      </c>
      <c r="D14" s="514" t="s">
        <v>98</v>
      </c>
      <c r="E14" s="25" t="s">
        <v>40</v>
      </c>
      <c r="F14" s="527"/>
      <c r="G14" s="528"/>
      <c r="H14" s="529"/>
      <c r="I14" s="528"/>
      <c r="J14" s="529"/>
      <c r="K14" s="528"/>
      <c r="L14" s="529"/>
      <c r="M14" s="528"/>
      <c r="N14" s="529"/>
      <c r="O14" s="528"/>
      <c r="P14" s="527"/>
      <c r="Q14" s="528"/>
      <c r="R14" s="527"/>
      <c r="S14" s="528"/>
      <c r="T14" s="527"/>
      <c r="U14" s="528"/>
      <c r="V14" s="527"/>
      <c r="W14" s="528"/>
      <c r="X14" s="527"/>
      <c r="Y14" s="528"/>
      <c r="Z14" s="527"/>
      <c r="AA14" s="528"/>
      <c r="AB14" s="529"/>
      <c r="AC14" s="528"/>
      <c r="AD14" s="527"/>
      <c r="AE14" s="528"/>
      <c r="AF14" s="527"/>
      <c r="AG14" s="528"/>
      <c r="AH14" s="527"/>
      <c r="AI14" s="528"/>
      <c r="AJ14" s="527"/>
      <c r="AK14" s="528"/>
      <c r="AM14" s="307"/>
      <c r="AN14" s="60">
        <v>6</v>
      </c>
      <c r="AO14" s="381" t="s">
        <v>676</v>
      </c>
      <c r="AP14" s="60" t="s">
        <v>169</v>
      </c>
      <c r="AQ14" s="370" t="s">
        <v>644</v>
      </c>
      <c r="AR14" s="192"/>
      <c r="AS14" s="325" t="str">
        <f t="shared" si="0"/>
        <v>N/A</v>
      </c>
      <c r="AT14" s="313"/>
      <c r="AU14" s="325" t="str">
        <f t="shared" si="1"/>
        <v>N/A</v>
      </c>
      <c r="AV14" s="325"/>
      <c r="AW14" s="325" t="str">
        <f t="shared" si="2"/>
        <v>N/A</v>
      </c>
      <c r="AX14" s="325"/>
      <c r="AY14" s="325" t="str">
        <f t="shared" si="3"/>
        <v>N/A</v>
      </c>
      <c r="AZ14" s="325"/>
      <c r="BA14" s="325" t="str">
        <f t="shared" si="4"/>
        <v>N/A</v>
      </c>
      <c r="BB14" s="325"/>
      <c r="BC14" s="325" t="str">
        <f t="shared" si="5"/>
        <v>N/A</v>
      </c>
      <c r="BD14" s="325"/>
      <c r="BE14" s="325" t="str">
        <f t="shared" si="6"/>
        <v>N/A</v>
      </c>
      <c r="BF14" s="325"/>
      <c r="BG14" s="325" t="str">
        <f t="shared" si="7"/>
        <v>N/A</v>
      </c>
      <c r="BH14" s="325"/>
      <c r="BI14" s="325" t="str">
        <f t="shared" si="8"/>
        <v>N/A</v>
      </c>
      <c r="BJ14" s="325"/>
      <c r="BK14" s="325" t="str">
        <f t="shared" si="9"/>
        <v>N/A</v>
      </c>
      <c r="BL14" s="325"/>
      <c r="BM14" s="325" t="str">
        <f t="shared" si="10"/>
        <v>N/A</v>
      </c>
      <c r="BN14" s="325"/>
      <c r="BO14" s="325" t="str">
        <f t="shared" si="11"/>
        <v>N/A</v>
      </c>
      <c r="BP14" s="325"/>
      <c r="BQ14" s="325" t="str">
        <f t="shared" si="12"/>
        <v>N/A</v>
      </c>
      <c r="BR14" s="325"/>
      <c r="BS14" s="325" t="str">
        <f t="shared" si="13"/>
        <v>N/A</v>
      </c>
      <c r="BT14" s="325"/>
      <c r="BU14" s="325" t="str">
        <f t="shared" si="14"/>
        <v>N/A</v>
      </c>
      <c r="BV14" s="325"/>
    </row>
    <row r="15" spans="1:74" s="24" customFormat="1" ht="27" customHeight="1">
      <c r="A15" s="424"/>
      <c r="B15" s="425">
        <v>284</v>
      </c>
      <c r="C15" s="67">
        <v>7</v>
      </c>
      <c r="D15" s="515" t="s">
        <v>99</v>
      </c>
      <c r="E15" s="61" t="s">
        <v>40</v>
      </c>
      <c r="F15" s="536"/>
      <c r="G15" s="534"/>
      <c r="H15" s="533"/>
      <c r="I15" s="534"/>
      <c r="J15" s="533"/>
      <c r="K15" s="534"/>
      <c r="L15" s="533"/>
      <c r="M15" s="534"/>
      <c r="N15" s="533"/>
      <c r="O15" s="534"/>
      <c r="P15" s="536"/>
      <c r="Q15" s="534"/>
      <c r="R15" s="536"/>
      <c r="S15" s="534"/>
      <c r="T15" s="536"/>
      <c r="U15" s="534"/>
      <c r="V15" s="536"/>
      <c r="W15" s="534"/>
      <c r="X15" s="536"/>
      <c r="Y15" s="534"/>
      <c r="Z15" s="536"/>
      <c r="AA15" s="534"/>
      <c r="AB15" s="533"/>
      <c r="AC15" s="534"/>
      <c r="AD15" s="536"/>
      <c r="AE15" s="534"/>
      <c r="AF15" s="536"/>
      <c r="AG15" s="534"/>
      <c r="AH15" s="536"/>
      <c r="AI15" s="534"/>
      <c r="AJ15" s="536"/>
      <c r="AK15" s="534"/>
      <c r="AM15" s="307"/>
      <c r="AN15" s="316">
        <v>7</v>
      </c>
      <c r="AO15" s="383" t="s">
        <v>605</v>
      </c>
      <c r="AP15" s="316" t="s">
        <v>169</v>
      </c>
      <c r="AQ15" s="318" t="s">
        <v>644</v>
      </c>
      <c r="AR15" s="319"/>
      <c r="AS15" s="326" t="str">
        <f t="shared" si="0"/>
        <v>N/A</v>
      </c>
      <c r="AT15" s="319"/>
      <c r="AU15" s="326" t="str">
        <f t="shared" si="1"/>
        <v>N/A</v>
      </c>
      <c r="AV15" s="326"/>
      <c r="AW15" s="326" t="str">
        <f t="shared" si="2"/>
        <v>N/A</v>
      </c>
      <c r="AX15" s="326"/>
      <c r="AY15" s="326" t="str">
        <f t="shared" si="3"/>
        <v>N/A</v>
      </c>
      <c r="AZ15" s="326"/>
      <c r="BA15" s="326" t="str">
        <f t="shared" si="4"/>
        <v>N/A</v>
      </c>
      <c r="BB15" s="326"/>
      <c r="BC15" s="326" t="str">
        <f t="shared" si="5"/>
        <v>N/A</v>
      </c>
      <c r="BD15" s="326"/>
      <c r="BE15" s="326" t="str">
        <f t="shared" si="6"/>
        <v>N/A</v>
      </c>
      <c r="BF15" s="326"/>
      <c r="BG15" s="326" t="str">
        <f t="shared" si="7"/>
        <v>N/A</v>
      </c>
      <c r="BH15" s="326"/>
      <c r="BI15" s="326" t="str">
        <f t="shared" si="8"/>
        <v>N/A</v>
      </c>
      <c r="BJ15" s="326"/>
      <c r="BK15" s="326" t="str">
        <f t="shared" si="9"/>
        <v>N/A</v>
      </c>
      <c r="BL15" s="326"/>
      <c r="BM15" s="326" t="str">
        <f t="shared" si="10"/>
        <v>N/A</v>
      </c>
      <c r="BN15" s="326"/>
      <c r="BO15" s="326" t="str">
        <f t="shared" si="11"/>
        <v>N/A</v>
      </c>
      <c r="BP15" s="326"/>
      <c r="BQ15" s="326" t="str">
        <f t="shared" si="12"/>
        <v>N/A</v>
      </c>
      <c r="BR15" s="326"/>
      <c r="BS15" s="326" t="str">
        <f t="shared" si="13"/>
        <v>N/A</v>
      </c>
      <c r="BT15" s="326"/>
      <c r="BU15" s="326" t="str">
        <f t="shared" si="14"/>
        <v>N/A</v>
      </c>
      <c r="BV15" s="326"/>
    </row>
    <row r="16" spans="41:51" ht="3" customHeight="1">
      <c r="AO16" s="251"/>
      <c r="AP16" s="384"/>
      <c r="AQ16" s="384"/>
      <c r="AR16" s="384"/>
      <c r="AS16" s="384"/>
      <c r="AT16" s="384"/>
      <c r="AU16" s="384"/>
      <c r="AV16" s="384"/>
      <c r="AW16" s="384"/>
      <c r="AX16" s="384"/>
      <c r="AY16" s="384"/>
    </row>
    <row r="17" spans="3:74" ht="24.75" customHeight="1">
      <c r="C17" s="3" t="s">
        <v>165</v>
      </c>
      <c r="D17" s="4"/>
      <c r="E17" s="20"/>
      <c r="F17" s="20"/>
      <c r="G17" s="3"/>
      <c r="AN17" s="690" t="s">
        <v>81</v>
      </c>
      <c r="AO17" s="690"/>
      <c r="AP17" s="690"/>
      <c r="AQ17" s="690"/>
      <c r="AR17" s="690"/>
      <c r="AS17" s="690"/>
      <c r="AT17" s="690"/>
      <c r="AU17" s="690"/>
      <c r="AV17" s="690"/>
      <c r="AW17" s="690"/>
      <c r="AX17" s="690"/>
      <c r="AY17" s="690"/>
      <c r="AZ17" s="690"/>
      <c r="BA17" s="690"/>
      <c r="BB17" s="690"/>
      <c r="BC17" s="690"/>
      <c r="BD17" s="690"/>
      <c r="BE17" s="690"/>
      <c r="BF17" s="690"/>
      <c r="BG17" s="690"/>
      <c r="BH17" s="690"/>
      <c r="BI17" s="690"/>
      <c r="BJ17" s="690"/>
      <c r="BK17" s="690"/>
      <c r="BL17" s="690"/>
      <c r="BM17" s="690"/>
      <c r="BN17" s="690"/>
      <c r="BO17" s="690"/>
      <c r="BP17" s="690"/>
      <c r="BQ17" s="690"/>
      <c r="BR17" s="690"/>
      <c r="BS17" s="690"/>
      <c r="BT17" s="690"/>
      <c r="BU17" s="690"/>
      <c r="BV17" s="690"/>
    </row>
    <row r="18" spans="3:74" ht="14.25" customHeight="1">
      <c r="C18" s="266" t="s">
        <v>667</v>
      </c>
      <c r="D18" s="685" t="s">
        <v>100</v>
      </c>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N18" s="63" t="s">
        <v>157</v>
      </c>
      <c r="AO18" s="63" t="s">
        <v>164</v>
      </c>
      <c r="AP18" s="64" t="s">
        <v>166</v>
      </c>
      <c r="AQ18" s="135">
        <v>1990</v>
      </c>
      <c r="AR18" s="199"/>
      <c r="AS18" s="136">
        <v>1995</v>
      </c>
      <c r="AT18" s="199"/>
      <c r="AU18" s="136">
        <v>1996</v>
      </c>
      <c r="AV18" s="199"/>
      <c r="AW18" s="136">
        <v>1997</v>
      </c>
      <c r="AX18" s="199"/>
      <c r="AY18" s="136">
        <v>1998</v>
      </c>
      <c r="AZ18" s="199"/>
      <c r="BA18" s="136">
        <v>1999</v>
      </c>
      <c r="BB18" s="199"/>
      <c r="BC18" s="136">
        <v>2000</v>
      </c>
      <c r="BD18" s="199"/>
      <c r="BE18" s="136">
        <v>2001</v>
      </c>
      <c r="BF18" s="199"/>
      <c r="BG18" s="136">
        <v>2002</v>
      </c>
      <c r="BH18" s="199"/>
      <c r="BI18" s="136">
        <v>2003</v>
      </c>
      <c r="BJ18" s="199"/>
      <c r="BK18" s="136">
        <v>2004</v>
      </c>
      <c r="BL18" s="199"/>
      <c r="BM18" s="136">
        <v>2005</v>
      </c>
      <c r="BN18" s="199"/>
      <c r="BO18" s="136">
        <v>2006</v>
      </c>
      <c r="BP18" s="199"/>
      <c r="BQ18" s="136">
        <v>2007</v>
      </c>
      <c r="BR18" s="199"/>
      <c r="BS18" s="136">
        <v>2008</v>
      </c>
      <c r="BT18" s="199"/>
      <c r="BU18" s="136">
        <v>2009</v>
      </c>
      <c r="BV18" s="199"/>
    </row>
    <row r="19" spans="3:74" ht="15.75" customHeight="1">
      <c r="C19" s="266" t="s">
        <v>667</v>
      </c>
      <c r="D19" s="669" t="s">
        <v>79</v>
      </c>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N19" s="379">
        <v>1</v>
      </c>
      <c r="AO19" s="389" t="s">
        <v>535</v>
      </c>
      <c r="AP19" s="310" t="s">
        <v>169</v>
      </c>
      <c r="AQ19" s="325">
        <f>F8</f>
        <v>0</v>
      </c>
      <c r="AR19" s="325"/>
      <c r="AS19" s="325">
        <f aca="true" t="shared" si="15" ref="AS19:BU19">H8</f>
        <v>0</v>
      </c>
      <c r="AT19" s="325"/>
      <c r="AU19" s="325">
        <f t="shared" si="15"/>
        <v>0</v>
      </c>
      <c r="AV19" s="325"/>
      <c r="AW19" s="325">
        <f t="shared" si="15"/>
        <v>0</v>
      </c>
      <c r="AX19" s="325"/>
      <c r="AY19" s="325">
        <f t="shared" si="15"/>
        <v>0</v>
      </c>
      <c r="AZ19" s="325"/>
      <c r="BA19" s="325">
        <f t="shared" si="15"/>
        <v>0</v>
      </c>
      <c r="BB19" s="325"/>
      <c r="BC19" s="325">
        <f t="shared" si="15"/>
        <v>0</v>
      </c>
      <c r="BD19" s="325"/>
      <c r="BE19" s="325">
        <f t="shared" si="15"/>
        <v>0</v>
      </c>
      <c r="BF19" s="325"/>
      <c r="BG19" s="325">
        <f t="shared" si="15"/>
        <v>0</v>
      </c>
      <c r="BH19" s="325"/>
      <c r="BI19" s="325">
        <f t="shared" si="15"/>
        <v>0</v>
      </c>
      <c r="BJ19" s="325"/>
      <c r="BK19" s="325">
        <f t="shared" si="15"/>
        <v>0</v>
      </c>
      <c r="BL19" s="325"/>
      <c r="BM19" s="325">
        <f t="shared" si="15"/>
        <v>0</v>
      </c>
      <c r="BN19" s="325"/>
      <c r="BO19" s="325">
        <f t="shared" si="15"/>
        <v>0</v>
      </c>
      <c r="BP19" s="325"/>
      <c r="BQ19" s="325">
        <f t="shared" si="15"/>
        <v>0</v>
      </c>
      <c r="BR19" s="325"/>
      <c r="BS19" s="325">
        <f t="shared" si="15"/>
        <v>0</v>
      </c>
      <c r="BT19" s="325"/>
      <c r="BU19" s="325">
        <f t="shared" si="15"/>
        <v>0</v>
      </c>
      <c r="BV19" s="313"/>
    </row>
    <row r="20" spans="1:88" ht="25.5" customHeight="1">
      <c r="A20" s="400"/>
      <c r="B20" s="400"/>
      <c r="C20" s="266" t="s">
        <v>667</v>
      </c>
      <c r="D20" s="669" t="s">
        <v>47</v>
      </c>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385"/>
      <c r="AN20" s="476">
        <v>8</v>
      </c>
      <c r="AO20" s="481" t="s">
        <v>591</v>
      </c>
      <c r="AP20" s="310" t="s">
        <v>169</v>
      </c>
      <c r="AQ20" s="328">
        <f>F10+F11+F13+F14+F15</f>
        <v>0</v>
      </c>
      <c r="AR20" s="328"/>
      <c r="AS20" s="328">
        <f aca="true" t="shared" si="16" ref="AS20:BU20">H10+H11+H13+H14+H15</f>
        <v>0</v>
      </c>
      <c r="AT20" s="328"/>
      <c r="AU20" s="328">
        <f t="shared" si="16"/>
        <v>0</v>
      </c>
      <c r="AV20" s="328"/>
      <c r="AW20" s="328">
        <f t="shared" si="16"/>
        <v>0</v>
      </c>
      <c r="AX20" s="328"/>
      <c r="AY20" s="328">
        <f t="shared" si="16"/>
        <v>0</v>
      </c>
      <c r="AZ20" s="328"/>
      <c r="BA20" s="328">
        <f t="shared" si="16"/>
        <v>0</v>
      </c>
      <c r="BB20" s="328"/>
      <c r="BC20" s="328">
        <f t="shared" si="16"/>
        <v>0</v>
      </c>
      <c r="BD20" s="328"/>
      <c r="BE20" s="328">
        <f t="shared" si="16"/>
        <v>0</v>
      </c>
      <c r="BF20" s="328"/>
      <c r="BG20" s="328">
        <f t="shared" si="16"/>
        <v>0</v>
      </c>
      <c r="BH20" s="328"/>
      <c r="BI20" s="328">
        <f t="shared" si="16"/>
        <v>0</v>
      </c>
      <c r="BJ20" s="328"/>
      <c r="BK20" s="328">
        <f t="shared" si="16"/>
        <v>0</v>
      </c>
      <c r="BL20" s="328"/>
      <c r="BM20" s="328">
        <f t="shared" si="16"/>
        <v>0</v>
      </c>
      <c r="BN20" s="328"/>
      <c r="BO20" s="328">
        <f t="shared" si="16"/>
        <v>0</v>
      </c>
      <c r="BP20" s="328"/>
      <c r="BQ20" s="328">
        <f t="shared" si="16"/>
        <v>0</v>
      </c>
      <c r="BR20" s="328"/>
      <c r="BS20" s="328">
        <f t="shared" si="16"/>
        <v>0</v>
      </c>
      <c r="BT20" s="328"/>
      <c r="BU20" s="328">
        <f t="shared" si="16"/>
        <v>0</v>
      </c>
      <c r="BV20" s="192"/>
      <c r="BW20" s="14"/>
      <c r="BX20" s="14"/>
      <c r="BY20" s="14"/>
      <c r="BZ20" s="14"/>
      <c r="CA20" s="14"/>
      <c r="CB20" s="14"/>
      <c r="CC20" s="14"/>
      <c r="CD20" s="14"/>
      <c r="CE20" s="14"/>
      <c r="CF20" s="14"/>
      <c r="CG20" s="14"/>
      <c r="CH20" s="14"/>
      <c r="CI20" s="14"/>
      <c r="CJ20" s="14"/>
    </row>
    <row r="21" spans="1:88" ht="25.5" customHeight="1">
      <c r="A21" s="400"/>
      <c r="B21" s="400"/>
      <c r="C21" s="266" t="s">
        <v>667</v>
      </c>
      <c r="D21" s="669" t="s">
        <v>48</v>
      </c>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385"/>
      <c r="AN21" s="468" t="s">
        <v>677</v>
      </c>
      <c r="AO21" s="481" t="s">
        <v>592</v>
      </c>
      <c r="AP21" s="310"/>
      <c r="AQ21" s="328" t="str">
        <f>IF(ISBLANK(F8),"N/A",IF(ROUND(AQ19,0)&lt;ROUND(AQ20,0),"1&lt;8",IF(OR(ISBLANK(F10),ISBLANK(F11),ISBLANK(F13),ISBLANK(F14)),"N/A",IF((ROUND(AQ19,0)=ROUND(AQ20,0)),"ok","&lt;&gt;"))))</f>
        <v>N/A</v>
      </c>
      <c r="AR21" s="328"/>
      <c r="AS21" s="328" t="str">
        <f aca="true" t="shared" si="17" ref="AS21:BU21">IF(ISBLANK(H8),"N/A",IF(ROUND(AS19,0)&lt;ROUND(AS20,0),"1&lt;8",IF(OR(ISBLANK(H10),ISBLANK(H11),ISBLANK(H13),ISBLANK(H14)),"N/A",IF((ROUND(AS19,0)=ROUND(AS20,0)),"ok","&lt;&gt;"))))</f>
        <v>N/A</v>
      </c>
      <c r="AT21" s="328"/>
      <c r="AU21" s="328" t="str">
        <f t="shared" si="17"/>
        <v>N/A</v>
      </c>
      <c r="AV21" s="328"/>
      <c r="AW21" s="328" t="str">
        <f t="shared" si="17"/>
        <v>N/A</v>
      </c>
      <c r="AX21" s="328"/>
      <c r="AY21" s="328" t="str">
        <f t="shared" si="17"/>
        <v>N/A</v>
      </c>
      <c r="AZ21" s="328"/>
      <c r="BA21" s="328" t="str">
        <f t="shared" si="17"/>
        <v>N/A</v>
      </c>
      <c r="BB21" s="328"/>
      <c r="BC21" s="328" t="str">
        <f t="shared" si="17"/>
        <v>N/A</v>
      </c>
      <c r="BD21" s="328"/>
      <c r="BE21" s="328" t="str">
        <f t="shared" si="17"/>
        <v>N/A</v>
      </c>
      <c r="BF21" s="328"/>
      <c r="BG21" s="328" t="str">
        <f t="shared" si="17"/>
        <v>N/A</v>
      </c>
      <c r="BH21" s="328"/>
      <c r="BI21" s="328" t="str">
        <f t="shared" si="17"/>
        <v>N/A</v>
      </c>
      <c r="BJ21" s="328"/>
      <c r="BK21" s="328" t="str">
        <f t="shared" si="17"/>
        <v>N/A</v>
      </c>
      <c r="BL21" s="328"/>
      <c r="BM21" s="328" t="str">
        <f t="shared" si="17"/>
        <v>N/A</v>
      </c>
      <c r="BN21" s="328"/>
      <c r="BO21" s="328" t="str">
        <f t="shared" si="17"/>
        <v>N/A</v>
      </c>
      <c r="BP21" s="328"/>
      <c r="BQ21" s="328" t="str">
        <f t="shared" si="17"/>
        <v>N/A</v>
      </c>
      <c r="BR21" s="328"/>
      <c r="BS21" s="328" t="str">
        <f t="shared" si="17"/>
        <v>N/A</v>
      </c>
      <c r="BT21" s="328"/>
      <c r="BU21" s="328" t="str">
        <f t="shared" si="17"/>
        <v>N/A</v>
      </c>
      <c r="BV21" s="192"/>
      <c r="BW21" s="14"/>
      <c r="BX21" s="14"/>
      <c r="BY21" s="14"/>
      <c r="BZ21" s="14"/>
      <c r="CA21" s="14"/>
      <c r="CB21" s="14"/>
      <c r="CC21" s="14"/>
      <c r="CD21" s="14"/>
      <c r="CE21" s="14"/>
      <c r="CF21" s="14"/>
      <c r="CG21" s="14"/>
      <c r="CH21" s="14"/>
      <c r="CI21" s="14"/>
      <c r="CJ21" s="14"/>
    </row>
    <row r="22" spans="1:88" ht="16.5" customHeight="1">
      <c r="A22" s="400"/>
      <c r="B22" s="400"/>
      <c r="C22" s="266" t="s">
        <v>667</v>
      </c>
      <c r="D22" s="669" t="s">
        <v>49</v>
      </c>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385"/>
      <c r="AN22" s="60"/>
      <c r="AO22" s="367"/>
      <c r="AP22" s="60"/>
      <c r="AQ22" s="142"/>
      <c r="AR22" s="192"/>
      <c r="AS22" s="147"/>
      <c r="AT22" s="192"/>
      <c r="AU22" s="147"/>
      <c r="AV22" s="192"/>
      <c r="AW22" s="147"/>
      <c r="AX22" s="192"/>
      <c r="AY22" s="147"/>
      <c r="AZ22" s="192"/>
      <c r="BA22" s="142"/>
      <c r="BB22" s="192"/>
      <c r="BC22" s="142"/>
      <c r="BD22" s="192"/>
      <c r="BE22" s="142"/>
      <c r="BF22" s="192"/>
      <c r="BG22" s="142"/>
      <c r="BH22" s="192"/>
      <c r="BI22" s="142"/>
      <c r="BJ22" s="192"/>
      <c r="BK22" s="142"/>
      <c r="BL22" s="192"/>
      <c r="BM22" s="147"/>
      <c r="BN22" s="192"/>
      <c r="BO22" s="142"/>
      <c r="BP22" s="192"/>
      <c r="BQ22" s="142"/>
      <c r="BR22" s="192"/>
      <c r="BS22" s="142"/>
      <c r="BT22" s="192"/>
      <c r="BU22" s="142"/>
      <c r="BV22" s="192"/>
      <c r="BW22" s="14"/>
      <c r="BX22" s="14"/>
      <c r="BY22" s="14"/>
      <c r="BZ22" s="14"/>
      <c r="CA22" s="14"/>
      <c r="CB22" s="14"/>
      <c r="CC22" s="14"/>
      <c r="CD22" s="14"/>
      <c r="CE22" s="14"/>
      <c r="CF22" s="14"/>
      <c r="CG22" s="14"/>
      <c r="CH22" s="14"/>
      <c r="CI22" s="14"/>
      <c r="CJ22" s="14"/>
    </row>
    <row r="23" spans="1:88" ht="20.25" customHeight="1">
      <c r="A23" s="400"/>
      <c r="B23" s="400"/>
      <c r="C23" s="266"/>
      <c r="D23" s="273"/>
      <c r="E23" s="273"/>
      <c r="F23" s="273"/>
      <c r="G23" s="273"/>
      <c r="H23" s="273"/>
      <c r="I23" s="273"/>
      <c r="J23" s="273"/>
      <c r="K23" s="273"/>
      <c r="L23" s="273"/>
      <c r="M23" s="273"/>
      <c r="N23" s="273"/>
      <c r="O23" s="273"/>
      <c r="P23" s="273"/>
      <c r="Q23" s="273"/>
      <c r="R23" s="273"/>
      <c r="T23" s="72"/>
      <c r="U23" s="72"/>
      <c r="V23" s="72"/>
      <c r="W23" s="72"/>
      <c r="X23" s="72"/>
      <c r="Y23" s="72"/>
      <c r="Z23" s="72"/>
      <c r="AA23" s="72"/>
      <c r="AB23" s="72"/>
      <c r="AC23" s="273"/>
      <c r="AD23" s="710" t="str">
        <f>D10&amp;" (W4,2)"</f>
        <v>Ménages  (W4,2)</v>
      </c>
      <c r="AE23" s="711"/>
      <c r="AF23" s="711"/>
      <c r="AG23" s="711"/>
      <c r="AH23" s="711"/>
      <c r="AI23" s="711"/>
      <c r="AJ23" s="712"/>
      <c r="AK23" s="273"/>
      <c r="AL23" s="273"/>
      <c r="AM23" s="372"/>
      <c r="AN23" s="60">
        <v>2</v>
      </c>
      <c r="AO23" s="410" t="s">
        <v>175</v>
      </c>
      <c r="AP23" s="60" t="s">
        <v>169</v>
      </c>
      <c r="AQ23" s="328">
        <f>F10</f>
        <v>0</v>
      </c>
      <c r="AR23" s="328"/>
      <c r="AS23" s="328">
        <f>H10</f>
        <v>0</v>
      </c>
      <c r="AT23" s="328"/>
      <c r="AU23" s="328">
        <f>J10</f>
        <v>0</v>
      </c>
      <c r="AV23" s="328"/>
      <c r="AW23" s="328">
        <f>L10</f>
        <v>0</v>
      </c>
      <c r="AX23" s="328"/>
      <c r="AY23" s="328">
        <f>N10</f>
        <v>0</v>
      </c>
      <c r="AZ23" s="328"/>
      <c r="BA23" s="328">
        <f>P10</f>
        <v>0</v>
      </c>
      <c r="BB23" s="328"/>
      <c r="BC23" s="328">
        <f>R10</f>
        <v>0</v>
      </c>
      <c r="BD23" s="328"/>
      <c r="BE23" s="328">
        <f>T10</f>
        <v>0</v>
      </c>
      <c r="BF23" s="328"/>
      <c r="BG23" s="328">
        <f>V10</f>
        <v>0</v>
      </c>
      <c r="BH23" s="328"/>
      <c r="BI23" s="328">
        <f>X10</f>
        <v>0</v>
      </c>
      <c r="BJ23" s="328"/>
      <c r="BK23" s="328">
        <f>Z10</f>
        <v>0</v>
      </c>
      <c r="BL23" s="328"/>
      <c r="BM23" s="328">
        <f>AB10</f>
        <v>0</v>
      </c>
      <c r="BN23" s="328"/>
      <c r="BO23" s="328">
        <f>AD10</f>
        <v>0</v>
      </c>
      <c r="BP23" s="328"/>
      <c r="BQ23" s="328">
        <f>AF10</f>
        <v>0</v>
      </c>
      <c r="BR23" s="328"/>
      <c r="BS23" s="328">
        <f>AH10</f>
        <v>0</v>
      </c>
      <c r="BT23" s="328"/>
      <c r="BU23" s="328">
        <f>AJ10</f>
        <v>0</v>
      </c>
      <c r="BV23" s="328"/>
      <c r="BW23" s="14"/>
      <c r="BX23" s="14"/>
      <c r="BY23" s="14"/>
      <c r="BZ23" s="14"/>
      <c r="CA23" s="14"/>
      <c r="CB23" s="14"/>
      <c r="CC23" s="14"/>
      <c r="CD23" s="14"/>
      <c r="CE23" s="14"/>
      <c r="CF23" s="14"/>
      <c r="CG23" s="14"/>
      <c r="CH23" s="14"/>
      <c r="CI23" s="14"/>
      <c r="CJ23" s="14"/>
    </row>
    <row r="24" spans="1:88" ht="2.25" customHeight="1">
      <c r="A24" s="400"/>
      <c r="B24" s="400"/>
      <c r="C24" s="266"/>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372"/>
      <c r="AN24" s="329"/>
      <c r="AO24" s="329"/>
      <c r="AP24" s="329"/>
      <c r="AQ24" s="329"/>
      <c r="AR24" s="329"/>
      <c r="AS24" s="329"/>
      <c r="AT24" s="329"/>
      <c r="AU24" s="329"/>
      <c r="AV24" s="329"/>
      <c r="AW24" s="329"/>
      <c r="AX24" s="329"/>
      <c r="AY24" s="329"/>
      <c r="AZ24" s="147"/>
      <c r="BA24" s="142"/>
      <c r="BB24" s="147"/>
      <c r="BC24" s="142"/>
      <c r="BD24" s="147"/>
      <c r="BE24" s="142"/>
      <c r="BF24" s="147"/>
      <c r="BG24" s="142"/>
      <c r="BH24" s="147"/>
      <c r="BI24" s="142"/>
      <c r="BJ24" s="147"/>
      <c r="BK24" s="142"/>
      <c r="BL24" s="142"/>
      <c r="BM24" s="142"/>
      <c r="BN24" s="147"/>
      <c r="BO24" s="142"/>
      <c r="BP24" s="147"/>
      <c r="BQ24" s="142"/>
      <c r="BR24" s="147"/>
      <c r="BS24" s="142"/>
      <c r="BT24" s="147"/>
      <c r="BU24" s="329"/>
      <c r="BV24" s="329"/>
      <c r="BW24" s="14"/>
      <c r="BX24" s="14"/>
      <c r="BY24" s="14"/>
      <c r="BZ24" s="14"/>
      <c r="CA24" s="14"/>
      <c r="CB24" s="14"/>
      <c r="CC24" s="14"/>
      <c r="CD24" s="14"/>
      <c r="CE24" s="14"/>
      <c r="CF24" s="14"/>
      <c r="CG24" s="14"/>
      <c r="CH24" s="14"/>
      <c r="CI24" s="14"/>
      <c r="CJ24" s="14"/>
    </row>
    <row r="25" spans="1:88" ht="25.5" customHeight="1">
      <c r="A25" s="400"/>
      <c r="B25" s="400"/>
      <c r="C25" s="266"/>
      <c r="E25" s="273"/>
      <c r="F25" s="273"/>
      <c r="G25" s="273"/>
      <c r="H25" s="273"/>
      <c r="I25" s="273"/>
      <c r="J25" s="273"/>
      <c r="K25" s="273"/>
      <c r="L25" s="273"/>
      <c r="M25" s="273"/>
      <c r="N25" s="273"/>
      <c r="O25" s="273"/>
      <c r="P25" s="273"/>
      <c r="Q25" s="273"/>
      <c r="S25" s="273"/>
      <c r="T25" s="273"/>
      <c r="U25" s="273"/>
      <c r="V25" s="273"/>
      <c r="W25" s="273"/>
      <c r="X25" s="273"/>
      <c r="Y25" s="273"/>
      <c r="Z25" s="273"/>
      <c r="AA25" s="273"/>
      <c r="AB25" s="273"/>
      <c r="AC25" s="273"/>
      <c r="AD25" s="710" t="str">
        <f>D11&amp;" (W4,3)"</f>
        <v>Agriculture, sylviculture et pêche 
(divisions 01 à 03 de la CITI) (W4,3)</v>
      </c>
      <c r="AE25" s="711"/>
      <c r="AF25" s="711"/>
      <c r="AG25" s="711"/>
      <c r="AH25" s="711"/>
      <c r="AI25" s="711"/>
      <c r="AJ25" s="712"/>
      <c r="AK25" s="273"/>
      <c r="AL25" s="273"/>
      <c r="AM25" s="372"/>
      <c r="AN25" s="495">
        <v>9</v>
      </c>
      <c r="AO25" s="467" t="s">
        <v>632</v>
      </c>
      <c r="AP25" s="60" t="s">
        <v>169</v>
      </c>
      <c r="AQ25" s="328">
        <f>'W2'!F12+'W5'!F14</f>
        <v>0</v>
      </c>
      <c r="AR25" s="328">
        <f>'W2'!G12+'W5'!G14</f>
        <v>0</v>
      </c>
      <c r="AS25" s="328">
        <f>'W2'!H12+'W5'!H14</f>
        <v>0</v>
      </c>
      <c r="AT25" s="328">
        <f>'W2'!I12+'W5'!I14</f>
        <v>0</v>
      </c>
      <c r="AU25" s="328">
        <f>'W2'!J12+'W5'!J14</f>
        <v>0</v>
      </c>
      <c r="AV25" s="328">
        <f>'W2'!K12+'W5'!K14</f>
        <v>0</v>
      </c>
      <c r="AW25" s="328">
        <f>'W2'!L12+'W5'!L14</f>
        <v>0</v>
      </c>
      <c r="AX25" s="328">
        <f>'W2'!M12+'W5'!M14</f>
        <v>0</v>
      </c>
      <c r="AY25" s="328">
        <f>'W2'!N12+'W5'!N14</f>
        <v>0</v>
      </c>
      <c r="AZ25" s="328">
        <f>'W2'!O12+'W5'!O14</f>
        <v>0</v>
      </c>
      <c r="BA25" s="328">
        <f>'W2'!P12+'W5'!P14</f>
        <v>0</v>
      </c>
      <c r="BB25" s="328">
        <f>'W2'!Q12+'W5'!Q14</f>
        <v>0</v>
      </c>
      <c r="BC25" s="328">
        <f>'W2'!R12+'W5'!R14</f>
        <v>0</v>
      </c>
      <c r="BD25" s="328">
        <f>'W2'!S12+'W5'!S14</f>
        <v>0</v>
      </c>
      <c r="BE25" s="328">
        <f>'W2'!T12+'W5'!T14</f>
        <v>0</v>
      </c>
      <c r="BF25" s="328">
        <f>'W2'!U12+'W5'!U14</f>
        <v>0</v>
      </c>
      <c r="BG25" s="328">
        <f>'W2'!V12+'W5'!V14</f>
        <v>0</v>
      </c>
      <c r="BH25" s="328">
        <f>'W2'!W12+'W5'!W14</f>
        <v>0</v>
      </c>
      <c r="BI25" s="328">
        <f>'W2'!X12+'W5'!X14</f>
        <v>0</v>
      </c>
      <c r="BJ25" s="328">
        <f>'W2'!Y12+'W5'!Y14</f>
        <v>0</v>
      </c>
      <c r="BK25" s="328">
        <f>'W2'!Z12+'W5'!Z14</f>
        <v>0</v>
      </c>
      <c r="BL25" s="328">
        <f>'W2'!AA12+'W5'!AA14</f>
        <v>0</v>
      </c>
      <c r="BM25" s="328">
        <f>'W2'!AB12+'W5'!AB14</f>
        <v>0</v>
      </c>
      <c r="BN25" s="328">
        <f>'W2'!AC12+'W5'!AC14</f>
        <v>0</v>
      </c>
      <c r="BO25" s="328">
        <f>'W2'!AD12+'W5'!AD14</f>
        <v>0</v>
      </c>
      <c r="BP25" s="328">
        <f>'W2'!AE12+'W5'!AE14</f>
        <v>0</v>
      </c>
      <c r="BQ25" s="328">
        <f>'W2'!AF12+'W5'!AF14</f>
        <v>0</v>
      </c>
      <c r="BR25" s="328">
        <f>'W2'!AG12+'W5'!AG14</f>
        <v>0</v>
      </c>
      <c r="BS25" s="328">
        <f>'W2'!AH12+'W5'!AH14</f>
        <v>0</v>
      </c>
      <c r="BT25" s="328">
        <f>'W2'!AI12+'W5'!AI14</f>
        <v>0</v>
      </c>
      <c r="BU25" s="328">
        <f>'W2'!AJ12+'W5'!AJ14</f>
        <v>0</v>
      </c>
      <c r="BV25" s="328"/>
      <c r="BW25" s="14"/>
      <c r="BX25" s="14"/>
      <c r="BY25" s="14"/>
      <c r="BZ25" s="14"/>
      <c r="CA25" s="14"/>
      <c r="CB25" s="14"/>
      <c r="CC25" s="14"/>
      <c r="CD25" s="14"/>
      <c r="CE25" s="14"/>
      <c r="CF25" s="14"/>
      <c r="CG25" s="14"/>
      <c r="CH25" s="14"/>
      <c r="CI25" s="14"/>
      <c r="CJ25" s="14"/>
    </row>
    <row r="26" spans="1:88" ht="1.5" customHeight="1">
      <c r="A26" s="400"/>
      <c r="B26" s="400"/>
      <c r="C26" s="266"/>
      <c r="D26" s="273"/>
      <c r="E26" s="273"/>
      <c r="F26" s="273"/>
      <c r="G26" s="273"/>
      <c r="H26" s="273"/>
      <c r="I26" s="273"/>
      <c r="J26" s="273"/>
      <c r="K26" s="273"/>
      <c r="L26" s="273"/>
      <c r="M26" s="273"/>
      <c r="N26" s="273"/>
      <c r="O26" s="273"/>
      <c r="P26" s="273"/>
      <c r="Q26" s="273"/>
      <c r="R26" s="715" t="str">
        <f>LEFT(D8,LEN(D8)-21)&amp;" (=W3,10) (W4,1)"</f>
        <v>Quantité totale d’eau douce utilisée  (=W3,10) (W4,1)</v>
      </c>
      <c r="S26" s="716"/>
      <c r="T26" s="716"/>
      <c r="U26" s="716"/>
      <c r="V26" s="716"/>
      <c r="W26" s="716"/>
      <c r="X26" s="717"/>
      <c r="Y26" s="273"/>
      <c r="Z26" s="273"/>
      <c r="AA26" s="273"/>
      <c r="AB26" s="273"/>
      <c r="AC26" s="273"/>
      <c r="AD26" s="273"/>
      <c r="AE26" s="273"/>
      <c r="AF26" s="273"/>
      <c r="AG26" s="273"/>
      <c r="AH26" s="273"/>
      <c r="AI26" s="273"/>
      <c r="AJ26" s="273"/>
      <c r="AK26" s="273"/>
      <c r="AL26" s="273"/>
      <c r="AM26" s="372"/>
      <c r="AN26" s="468" t="s">
        <v>677</v>
      </c>
      <c r="AO26" s="467"/>
      <c r="AP26" s="60"/>
      <c r="AQ26" s="142"/>
      <c r="AR26" s="192"/>
      <c r="AS26" s="147"/>
      <c r="AT26" s="192"/>
      <c r="AU26" s="147"/>
      <c r="AV26" s="192"/>
      <c r="AW26" s="147"/>
      <c r="AX26" s="192"/>
      <c r="AY26" s="147"/>
      <c r="AZ26" s="192"/>
      <c r="BA26" s="142"/>
      <c r="BB26" s="192"/>
      <c r="BC26" s="142"/>
      <c r="BD26" s="192"/>
      <c r="BE26" s="142"/>
      <c r="BF26" s="192"/>
      <c r="BG26" s="142"/>
      <c r="BH26" s="192"/>
      <c r="BI26" s="142"/>
      <c r="BJ26" s="192"/>
      <c r="BK26" s="142"/>
      <c r="BL26" s="192"/>
      <c r="BM26" s="147"/>
      <c r="BN26" s="192"/>
      <c r="BO26" s="142"/>
      <c r="BP26" s="192"/>
      <c r="BQ26" s="142"/>
      <c r="BR26" s="192"/>
      <c r="BS26" s="142"/>
      <c r="BT26" s="192"/>
      <c r="BU26" s="142"/>
      <c r="BV26" s="192"/>
      <c r="BW26" s="14"/>
      <c r="BX26" s="14"/>
      <c r="BY26" s="14"/>
      <c r="BZ26" s="14"/>
      <c r="CA26" s="14"/>
      <c r="CB26" s="14"/>
      <c r="CC26" s="14"/>
      <c r="CD26" s="14"/>
      <c r="CE26" s="14"/>
      <c r="CF26" s="14"/>
      <c r="CG26" s="14"/>
      <c r="CH26" s="14"/>
      <c r="CI26" s="14"/>
      <c r="CJ26" s="14"/>
    </row>
    <row r="27" spans="1:88" ht="33" customHeight="1">
      <c r="A27" s="400"/>
      <c r="B27" s="400"/>
      <c r="C27" s="266"/>
      <c r="D27" s="273"/>
      <c r="E27" s="273"/>
      <c r="F27" s="273"/>
      <c r="G27" s="273"/>
      <c r="H27" s="273"/>
      <c r="I27" s="273"/>
      <c r="J27" s="273"/>
      <c r="K27" s="273"/>
      <c r="L27" s="273"/>
      <c r="M27" s="273"/>
      <c r="N27" s="273"/>
      <c r="O27" s="273"/>
      <c r="P27" s="273"/>
      <c r="Q27" s="273"/>
      <c r="R27" s="718"/>
      <c r="S27" s="719"/>
      <c r="T27" s="719"/>
      <c r="U27" s="719"/>
      <c r="V27" s="719"/>
      <c r="W27" s="719"/>
      <c r="X27" s="720"/>
      <c r="Y27" s="713" t="str">
        <f>D9</f>
        <v>Dont : volume d’eau douce utilisé par agent ou activité économique:</v>
      </c>
      <c r="Z27" s="714"/>
      <c r="AA27" s="714"/>
      <c r="AB27" s="273"/>
      <c r="AC27" s="273"/>
      <c r="AD27" s="710" t="str">
        <f>D13&amp;" (W4,5)"</f>
        <v>Industrie 
 (divisions 10 à 33 de la CITI) (W4,5)</v>
      </c>
      <c r="AE27" s="711"/>
      <c r="AF27" s="711"/>
      <c r="AG27" s="711"/>
      <c r="AH27" s="711"/>
      <c r="AI27" s="711"/>
      <c r="AJ27" s="712"/>
      <c r="AK27" s="273"/>
      <c r="AL27" s="273"/>
      <c r="AM27" s="372"/>
      <c r="AN27" s="468" t="s">
        <v>677</v>
      </c>
      <c r="AO27" s="467" t="s">
        <v>633</v>
      </c>
      <c r="AP27" s="60"/>
      <c r="AQ27" s="328" t="str">
        <f>IF(OR(ISBLANK(F10),ISBLANK('W2'!F12),ISBLANK('W5'!F14)),"N/A",IF((ROUND('W4'!AQ23,0)&lt;=ROUND('W4'!AQ25,0)),"ok","&lt;&gt;"))</f>
        <v>N/A</v>
      </c>
      <c r="AR27" s="328"/>
      <c r="AS27" s="328" t="str">
        <f>IF(OR(ISBLANK(H10),ISBLANK('W2'!H12),ISBLANK('W5'!H14)),"N/A",IF((ROUND('W4'!AS23,0)&lt;=ROUND('W4'!AS25,0)),"ok","&lt;&gt;"))</f>
        <v>N/A</v>
      </c>
      <c r="AT27" s="328"/>
      <c r="AU27" s="328" t="str">
        <f>IF(OR(ISBLANK(J10),ISBLANK('W2'!J12),ISBLANK('W5'!J14)),"N/A",IF((ROUND('W4'!AU23,0)&lt;=ROUND('W4'!AU25,0)),"ok","&lt;&gt;"))</f>
        <v>N/A</v>
      </c>
      <c r="AV27" s="328"/>
      <c r="AW27" s="328" t="str">
        <f>IF(OR(ISBLANK(L10),ISBLANK('W2'!L12),ISBLANK('W5'!L14)),"N/A",IF((ROUND('W4'!AW23,0)&lt;=ROUND('W4'!AW25,0)),"ok","&lt;&gt;"))</f>
        <v>N/A</v>
      </c>
      <c r="AX27" s="328"/>
      <c r="AY27" s="328" t="str">
        <f>IF(OR(ISBLANK(N10),ISBLANK('W2'!N12),ISBLANK('W5'!N14)),"N/A",IF((ROUND('W4'!AY23,0)&lt;=ROUND('W4'!AY25,0)),"ok","&lt;&gt;"))</f>
        <v>N/A</v>
      </c>
      <c r="AZ27" s="328"/>
      <c r="BA27" s="328" t="str">
        <f>IF(OR(ISBLANK(P10),ISBLANK('W2'!P12),ISBLANK('W5'!P14)),"N/A",IF((ROUND('W4'!BA23,0)&lt;=ROUND('W4'!BA25,0)),"ok","&lt;&gt;"))</f>
        <v>N/A</v>
      </c>
      <c r="BB27" s="328"/>
      <c r="BC27" s="328" t="str">
        <f>IF(OR(ISBLANK(R10),ISBLANK('W2'!R12),ISBLANK('W5'!R14)),"N/A",IF((ROUND('W4'!BC23,0)&lt;=ROUND('W4'!BC25,0)),"ok","&lt;&gt;"))</f>
        <v>N/A</v>
      </c>
      <c r="BD27" s="328"/>
      <c r="BE27" s="328" t="str">
        <f>IF(OR(ISBLANK(T10),ISBLANK('W2'!T12),ISBLANK('W5'!T14)),"N/A",IF((ROUND('W4'!BE23,0)&lt;=ROUND('W4'!BE25,0)),"ok","&lt;&gt;"))</f>
        <v>N/A</v>
      </c>
      <c r="BF27" s="328"/>
      <c r="BG27" s="328" t="str">
        <f>IF(OR(ISBLANK(V10),ISBLANK('W2'!V12),ISBLANK('W5'!V14)),"N/A",IF((ROUND('W4'!BG23,0)&lt;=ROUND('W4'!BG25,0)),"ok","&lt;&gt;"))</f>
        <v>N/A</v>
      </c>
      <c r="BH27" s="328"/>
      <c r="BI27" s="328" t="str">
        <f>IF(OR(ISBLANK(X10),ISBLANK('W2'!X12),ISBLANK('W5'!X14)),"N/A",IF((ROUND('W4'!BI23,0)&lt;=ROUND('W4'!BI25,0)),"ok","&lt;&gt;"))</f>
        <v>N/A</v>
      </c>
      <c r="BJ27" s="328"/>
      <c r="BK27" s="328" t="str">
        <f>IF(OR(ISBLANK(Z10),ISBLANK('W2'!Z12),ISBLANK('W5'!Z14)),"N/A",IF((ROUND('W4'!BK23,0)&lt;=ROUND('W4'!BK25,0)),"ok","&lt;&gt;"))</f>
        <v>N/A</v>
      </c>
      <c r="BL27" s="328"/>
      <c r="BM27" s="328" t="str">
        <f>IF(OR(ISBLANK(AB10),ISBLANK('W2'!AB12),ISBLANK('W5'!AB14)),"N/A",IF((ROUND('W4'!BM23,0)&lt;=ROUND('W4'!BM25,0)),"ok","&lt;&gt;"))</f>
        <v>N/A</v>
      </c>
      <c r="BN27" s="328"/>
      <c r="BO27" s="328" t="str">
        <f>IF(OR(ISBLANK(AD10),ISBLANK('W2'!AD12),ISBLANK('W5'!AD14)),"N/A",IF((ROUND('W4'!BO23,0)&lt;=ROUND('W4'!BO25,0)),"ok","&lt;&gt;"))</f>
        <v>N/A</v>
      </c>
      <c r="BP27" s="328"/>
      <c r="BQ27" s="328" t="str">
        <f>IF(OR(ISBLANK(AF10),ISBLANK('W2'!AF12),ISBLANK('W5'!AF14)),"N/A",IF((ROUND('W4'!BQ23,0)&lt;=ROUND('W4'!BQ25,0)),"ok","&lt;&gt;"))</f>
        <v>N/A</v>
      </c>
      <c r="BR27" s="328"/>
      <c r="BS27" s="328" t="str">
        <f>IF(OR(ISBLANK(AH10),ISBLANK('W2'!AH12),ISBLANK('W5'!AH14)),"N/A",IF((ROUND('W4'!BS23,0)&lt;=ROUND('W4'!BS25,0)),"ok","&lt;&gt;"))</f>
        <v>N/A</v>
      </c>
      <c r="BT27" s="328"/>
      <c r="BU27" s="328" t="str">
        <f>IF(OR(ISBLANK(AJ10),ISBLANK('W2'!AJ12),ISBLANK('W5'!AJ14)),"N/A",IF((ROUND('W4'!BU23,0)&lt;=ROUND('W4'!BU25,0)),"ok","&lt;&gt;"))</f>
        <v>N/A</v>
      </c>
      <c r="BV27" s="328"/>
      <c r="BW27" s="14"/>
      <c r="BX27" s="14"/>
      <c r="BY27" s="14"/>
      <c r="BZ27" s="14"/>
      <c r="CA27" s="14"/>
      <c r="CB27" s="14"/>
      <c r="CC27" s="14"/>
      <c r="CD27" s="14"/>
      <c r="CE27" s="14"/>
      <c r="CF27" s="14"/>
      <c r="CG27" s="14"/>
      <c r="CH27" s="14"/>
      <c r="CI27" s="14"/>
      <c r="CJ27" s="14"/>
    </row>
    <row r="28" spans="1:88" ht="2.25" customHeight="1">
      <c r="A28" s="400"/>
      <c r="B28" s="400"/>
      <c r="C28" s="266"/>
      <c r="D28" s="273"/>
      <c r="E28" s="273"/>
      <c r="F28" s="273"/>
      <c r="G28" s="273"/>
      <c r="H28" s="273"/>
      <c r="I28" s="273"/>
      <c r="J28" s="273"/>
      <c r="K28" s="273"/>
      <c r="L28" s="273"/>
      <c r="M28" s="273"/>
      <c r="N28" s="273"/>
      <c r="O28" s="273"/>
      <c r="P28" s="273"/>
      <c r="Q28" s="273"/>
      <c r="R28" s="721"/>
      <c r="S28" s="722"/>
      <c r="T28" s="722"/>
      <c r="U28" s="722"/>
      <c r="V28" s="722"/>
      <c r="W28" s="722"/>
      <c r="X28" s="723"/>
      <c r="Y28" s="273"/>
      <c r="Z28" s="273"/>
      <c r="AA28" s="273"/>
      <c r="AB28" s="273"/>
      <c r="AC28" s="273"/>
      <c r="AD28" s="273"/>
      <c r="AE28" s="273"/>
      <c r="AF28" s="273"/>
      <c r="AG28" s="273"/>
      <c r="AH28" s="273"/>
      <c r="AI28" s="273"/>
      <c r="AJ28" s="273"/>
      <c r="AK28" s="273"/>
      <c r="AL28" s="273"/>
      <c r="AM28" s="372"/>
      <c r="AN28" s="496"/>
      <c r="AO28" s="329"/>
      <c r="AP28" s="329"/>
      <c r="AQ28" s="329"/>
      <c r="AR28" s="329"/>
      <c r="AS28" s="329"/>
      <c r="AT28" s="329"/>
      <c r="AU28" s="329"/>
      <c r="AV28" s="329"/>
      <c r="AW28" s="329"/>
      <c r="AX28" s="329"/>
      <c r="AY28" s="329"/>
      <c r="AZ28" s="147"/>
      <c r="BA28" s="142"/>
      <c r="BB28" s="147"/>
      <c r="BC28" s="142"/>
      <c r="BD28" s="147"/>
      <c r="BE28" s="142"/>
      <c r="BF28" s="147"/>
      <c r="BG28" s="142"/>
      <c r="BH28" s="147"/>
      <c r="BI28" s="142"/>
      <c r="BJ28" s="147"/>
      <c r="BK28" s="142"/>
      <c r="BL28" s="142"/>
      <c r="BM28" s="142"/>
      <c r="BN28" s="147"/>
      <c r="BO28" s="142"/>
      <c r="BP28" s="147"/>
      <c r="BQ28" s="142"/>
      <c r="BR28" s="147"/>
      <c r="BS28" s="142"/>
      <c r="BT28" s="147"/>
      <c r="BU28" s="329"/>
      <c r="BV28" s="329"/>
      <c r="BW28" s="14"/>
      <c r="BX28" s="14"/>
      <c r="BY28" s="14"/>
      <c r="BZ28" s="14"/>
      <c r="CA28" s="14"/>
      <c r="CB28" s="14"/>
      <c r="CC28" s="14"/>
      <c r="CD28" s="14"/>
      <c r="CE28" s="14"/>
      <c r="CF28" s="14"/>
      <c r="CG28" s="14"/>
      <c r="CH28" s="14"/>
      <c r="CI28" s="14"/>
      <c r="CJ28" s="14"/>
    </row>
    <row r="29" spans="1:88" ht="24" customHeight="1">
      <c r="A29" s="400"/>
      <c r="B29" s="400"/>
      <c r="C29" s="266"/>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710" t="str">
        <f>D14&amp;" (W4,6)"</f>
        <v>Industrie électrique
 (division 351 de la CITI) (W4,6)</v>
      </c>
      <c r="AE29" s="711"/>
      <c r="AF29" s="711"/>
      <c r="AG29" s="711"/>
      <c r="AH29" s="711"/>
      <c r="AI29" s="711"/>
      <c r="AJ29" s="712"/>
      <c r="AK29" s="273"/>
      <c r="AL29" s="273"/>
      <c r="AM29" s="372"/>
      <c r="AN29" s="60">
        <v>3</v>
      </c>
      <c r="AO29" s="411" t="s">
        <v>651</v>
      </c>
      <c r="AP29" s="60" t="s">
        <v>169</v>
      </c>
      <c r="AQ29" s="328">
        <f>F11</f>
        <v>0</v>
      </c>
      <c r="AR29" s="328"/>
      <c r="AS29" s="328">
        <f>H11</f>
        <v>0</v>
      </c>
      <c r="AT29" s="328"/>
      <c r="AU29" s="328">
        <f>J11</f>
        <v>0</v>
      </c>
      <c r="AV29" s="328"/>
      <c r="AW29" s="328">
        <f>L11</f>
        <v>0</v>
      </c>
      <c r="AX29" s="328"/>
      <c r="AY29" s="328">
        <f>N11</f>
        <v>0</v>
      </c>
      <c r="AZ29" s="328"/>
      <c r="BA29" s="328">
        <f>P11</f>
        <v>0</v>
      </c>
      <c r="BB29" s="328"/>
      <c r="BC29" s="328">
        <f>R11</f>
        <v>0</v>
      </c>
      <c r="BD29" s="328"/>
      <c r="BE29" s="328">
        <f>T11</f>
        <v>0</v>
      </c>
      <c r="BF29" s="328"/>
      <c r="BG29" s="328">
        <f>V11</f>
        <v>0</v>
      </c>
      <c r="BH29" s="328"/>
      <c r="BI29" s="328">
        <f>X11</f>
        <v>0</v>
      </c>
      <c r="BJ29" s="328"/>
      <c r="BK29" s="328">
        <f>Z11</f>
        <v>0</v>
      </c>
      <c r="BL29" s="328"/>
      <c r="BM29" s="328">
        <f>AB11</f>
        <v>0</v>
      </c>
      <c r="BN29" s="328"/>
      <c r="BO29" s="328">
        <f>AD11</f>
        <v>0</v>
      </c>
      <c r="BP29" s="328"/>
      <c r="BQ29" s="328">
        <f>AF11</f>
        <v>0</v>
      </c>
      <c r="BR29" s="328"/>
      <c r="BS29" s="328">
        <f>AH11</f>
        <v>0</v>
      </c>
      <c r="BT29" s="328"/>
      <c r="BU29" s="328">
        <f>AJ11</f>
        <v>0</v>
      </c>
      <c r="BV29" s="328"/>
      <c r="BW29" s="14"/>
      <c r="BX29" s="14"/>
      <c r="BY29" s="14"/>
      <c r="BZ29" s="14"/>
      <c r="CA29" s="14"/>
      <c r="CB29" s="14"/>
      <c r="CC29" s="14"/>
      <c r="CD29" s="14"/>
      <c r="CE29" s="14"/>
      <c r="CF29" s="14"/>
      <c r="CG29" s="14"/>
      <c r="CH29" s="14"/>
      <c r="CI29" s="14"/>
      <c r="CJ29" s="14"/>
    </row>
    <row r="30" spans="1:88" ht="3" customHeight="1">
      <c r="A30" s="400"/>
      <c r="B30" s="400"/>
      <c r="C30" s="266"/>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372"/>
      <c r="AN30" s="496"/>
      <c r="AO30" s="497"/>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c r="BW30" s="14"/>
      <c r="BX30" s="14"/>
      <c r="BY30" s="14"/>
      <c r="BZ30" s="14"/>
      <c r="CA30" s="14"/>
      <c r="CB30" s="14"/>
      <c r="CC30" s="14"/>
      <c r="CD30" s="14"/>
      <c r="CE30" s="14"/>
      <c r="CF30" s="14"/>
      <c r="CG30" s="14"/>
      <c r="CH30" s="14"/>
      <c r="CI30" s="14"/>
      <c r="CJ30" s="14"/>
    </row>
    <row r="31" spans="1:88" ht="21" customHeight="1">
      <c r="A31" s="400"/>
      <c r="B31" s="400"/>
      <c r="C31" s="266"/>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710" t="str">
        <f>D15&amp;" (W4,7)"</f>
        <v>Autres agents économiques (W4,7)</v>
      </c>
      <c r="AE31" s="711"/>
      <c r="AF31" s="711"/>
      <c r="AG31" s="711"/>
      <c r="AH31" s="711"/>
      <c r="AI31" s="711"/>
      <c r="AJ31" s="712"/>
      <c r="AK31" s="273"/>
      <c r="AL31" s="273"/>
      <c r="AM31" s="372"/>
      <c r="AN31" s="495">
        <v>10</v>
      </c>
      <c r="AO31" s="467" t="s">
        <v>634</v>
      </c>
      <c r="AP31" s="60" t="s">
        <v>169</v>
      </c>
      <c r="AQ31" s="328">
        <f>'W2'!F13+'W5'!F15</f>
        <v>0</v>
      </c>
      <c r="AR31" s="328">
        <f>'W2'!G13+'W5'!G15</f>
        <v>0</v>
      </c>
      <c r="AS31" s="328">
        <f>'W2'!H13+'W5'!H15</f>
        <v>0</v>
      </c>
      <c r="AT31" s="328">
        <f>'W2'!I13+'W5'!I15</f>
        <v>0</v>
      </c>
      <c r="AU31" s="328">
        <f>'W2'!J13+'W5'!J15</f>
        <v>0</v>
      </c>
      <c r="AV31" s="328">
        <f>'W2'!K13+'W5'!K15</f>
        <v>0</v>
      </c>
      <c r="AW31" s="328">
        <f>'W2'!L13+'W5'!L15</f>
        <v>0</v>
      </c>
      <c r="AX31" s="328">
        <f>'W2'!M13+'W5'!M15</f>
        <v>0</v>
      </c>
      <c r="AY31" s="328">
        <f>'W2'!N13+'W5'!N15</f>
        <v>0</v>
      </c>
      <c r="AZ31" s="328">
        <f>'W2'!O13+'W5'!O15</f>
        <v>0</v>
      </c>
      <c r="BA31" s="328">
        <f>'W2'!P13+'W5'!P15</f>
        <v>0</v>
      </c>
      <c r="BB31" s="328">
        <f>'W2'!Q13+'W5'!Q15</f>
        <v>0</v>
      </c>
      <c r="BC31" s="328">
        <f>'W2'!R13+'W5'!R15</f>
        <v>0</v>
      </c>
      <c r="BD31" s="328">
        <f>'W2'!S13+'W5'!S15</f>
        <v>0</v>
      </c>
      <c r="BE31" s="328">
        <f>'W2'!T13+'W5'!T15</f>
        <v>0</v>
      </c>
      <c r="BF31" s="328">
        <f>'W2'!U13+'W5'!U15</f>
        <v>0</v>
      </c>
      <c r="BG31" s="328">
        <f>'W2'!V13+'W5'!V15</f>
        <v>0</v>
      </c>
      <c r="BH31" s="328">
        <f>'W2'!W13+'W5'!W15</f>
        <v>0</v>
      </c>
      <c r="BI31" s="328">
        <f>'W2'!X13+'W5'!X15</f>
        <v>0</v>
      </c>
      <c r="BJ31" s="328">
        <f>'W2'!Y13+'W5'!Y15</f>
        <v>0</v>
      </c>
      <c r="BK31" s="328">
        <f>'W2'!Z13+'W5'!Z15</f>
        <v>0</v>
      </c>
      <c r="BL31" s="328">
        <f>'W2'!AA13+'W5'!AA15</f>
        <v>0</v>
      </c>
      <c r="BM31" s="328">
        <f>'W2'!AB13+'W5'!AB15</f>
        <v>0</v>
      </c>
      <c r="BN31" s="328">
        <f>'W2'!AC13+'W5'!AC15</f>
        <v>0</v>
      </c>
      <c r="BO31" s="328">
        <f>'W2'!AD13+'W5'!AD15</f>
        <v>0</v>
      </c>
      <c r="BP31" s="328">
        <f>'W2'!AE13+'W5'!AE15</f>
        <v>0</v>
      </c>
      <c r="BQ31" s="328">
        <f>'W2'!AF13+'W5'!AF15</f>
        <v>0</v>
      </c>
      <c r="BR31" s="328">
        <f>'W2'!AG13+'W5'!AG15</f>
        <v>0</v>
      </c>
      <c r="BS31" s="328">
        <f>'W2'!AH13+'W5'!AH15</f>
        <v>0</v>
      </c>
      <c r="BT31" s="328">
        <f>'W2'!AI13+'W5'!AI15</f>
        <v>0</v>
      </c>
      <c r="BU31" s="328">
        <f>'W2'!AJ13+'W5'!AJ15</f>
        <v>0</v>
      </c>
      <c r="BV31" s="328"/>
      <c r="BW31" s="14"/>
      <c r="BX31" s="14"/>
      <c r="BY31" s="14"/>
      <c r="BZ31" s="14"/>
      <c r="CA31" s="14"/>
      <c r="CB31" s="14"/>
      <c r="CC31" s="14"/>
      <c r="CD31" s="14"/>
      <c r="CE31" s="14"/>
      <c r="CF31" s="14"/>
      <c r="CG31" s="14"/>
      <c r="CH31" s="14"/>
      <c r="CI31" s="14"/>
      <c r="CJ31" s="14"/>
    </row>
    <row r="32" spans="1:88" ht="6" customHeight="1">
      <c r="A32" s="400"/>
      <c r="B32" s="400"/>
      <c r="C32" s="266"/>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157"/>
      <c r="AE32" s="157"/>
      <c r="AF32" s="157"/>
      <c r="AG32" s="157"/>
      <c r="AH32" s="157"/>
      <c r="AI32" s="157"/>
      <c r="AJ32" s="157"/>
      <c r="AK32" s="273"/>
      <c r="AL32" s="273"/>
      <c r="AM32" s="372"/>
      <c r="AN32" s="468"/>
      <c r="AO32" s="467"/>
      <c r="AP32" s="329"/>
      <c r="AQ32" s="328"/>
      <c r="AR32" s="446"/>
      <c r="AS32" s="328"/>
      <c r="AT32" s="446"/>
      <c r="AU32" s="328"/>
      <c r="AV32" s="446"/>
      <c r="AW32" s="328"/>
      <c r="AX32" s="446"/>
      <c r="AY32" s="328"/>
      <c r="AZ32" s="446"/>
      <c r="BA32" s="328"/>
      <c r="BB32" s="446"/>
      <c r="BC32" s="328"/>
      <c r="BD32" s="446"/>
      <c r="BE32" s="328"/>
      <c r="BF32" s="446"/>
      <c r="BG32" s="328"/>
      <c r="BH32" s="446"/>
      <c r="BI32" s="328"/>
      <c r="BJ32" s="446"/>
      <c r="BK32" s="328"/>
      <c r="BL32" s="446"/>
      <c r="BM32" s="328"/>
      <c r="BN32" s="446"/>
      <c r="BO32" s="328"/>
      <c r="BP32" s="446"/>
      <c r="BQ32" s="328"/>
      <c r="BR32" s="446"/>
      <c r="BS32" s="328"/>
      <c r="BT32" s="446"/>
      <c r="BU32" s="328"/>
      <c r="BV32" s="192"/>
      <c r="BW32" s="14"/>
      <c r="BX32" s="14"/>
      <c r="BY32" s="14"/>
      <c r="BZ32" s="14"/>
      <c r="CA32" s="14"/>
      <c r="CB32" s="14"/>
      <c r="CC32" s="14"/>
      <c r="CD32" s="14"/>
      <c r="CE32" s="14"/>
      <c r="CF32" s="14"/>
      <c r="CG32" s="14"/>
      <c r="CH32" s="14"/>
      <c r="CI32" s="14"/>
      <c r="CJ32" s="14"/>
    </row>
    <row r="33" spans="1:74" s="50" customFormat="1" ht="15.75">
      <c r="A33" s="401"/>
      <c r="B33" s="398">
        <v>2</v>
      </c>
      <c r="C33" s="119" t="s">
        <v>50</v>
      </c>
      <c r="D33" s="121"/>
      <c r="E33" s="119"/>
      <c r="F33" s="117"/>
      <c r="G33" s="162"/>
      <c r="H33" s="182"/>
      <c r="I33" s="166"/>
      <c r="J33" s="182"/>
      <c r="K33" s="166"/>
      <c r="L33" s="182"/>
      <c r="M33" s="166"/>
      <c r="N33" s="182"/>
      <c r="O33" s="166"/>
      <c r="P33" s="182"/>
      <c r="Q33" s="162"/>
      <c r="R33" s="182"/>
      <c r="S33" s="162"/>
      <c r="T33" s="182"/>
      <c r="U33" s="162"/>
      <c r="V33" s="182"/>
      <c r="W33" s="162"/>
      <c r="X33" s="182"/>
      <c r="Y33" s="162"/>
      <c r="Z33" s="189"/>
      <c r="AA33" s="162"/>
      <c r="AB33" s="182"/>
      <c r="AC33" s="166"/>
      <c r="AD33" s="182"/>
      <c r="AE33" s="162"/>
      <c r="AF33" s="182"/>
      <c r="AG33" s="162"/>
      <c r="AH33" s="182"/>
      <c r="AI33" s="234"/>
      <c r="AJ33" s="194"/>
      <c r="AK33" s="557"/>
      <c r="AL33" s="557"/>
      <c r="AM33" s="419"/>
      <c r="AN33" s="468" t="s">
        <v>677</v>
      </c>
      <c r="AO33" s="467" t="s">
        <v>635</v>
      </c>
      <c r="AP33" s="329"/>
      <c r="AQ33" s="328" t="str">
        <f>IF(OR(ISBLANK(F11),ISBLANK('W2'!F13),ISBLANK('W5'!F15)),"N/A",IF((ROUND('W4'!AQ29,0)&lt;=ROUND('W4'!AQ31,0)),"ok","&lt;&gt;"))</f>
        <v>N/A</v>
      </c>
      <c r="AR33" s="328"/>
      <c r="AS33" s="328" t="str">
        <f>IF(OR(ISBLANK(H11),ISBLANK('W2'!H13),ISBLANK('W5'!H15)),"N/A",IF((ROUND('W4'!AS29,0)&lt;=ROUND('W4'!AS31,0)),"ok","&lt;&gt;"))</f>
        <v>N/A</v>
      </c>
      <c r="AT33" s="328"/>
      <c r="AU33" s="328" t="str">
        <f>IF(OR(ISBLANK(J11),ISBLANK('W2'!J13),ISBLANK('W5'!J15)),"N/A",IF((ROUND('W4'!AU29,0)&lt;=ROUND('W4'!AU31,0)),"ok","&lt;&gt;"))</f>
        <v>N/A</v>
      </c>
      <c r="AV33" s="328"/>
      <c r="AW33" s="328" t="str">
        <f>IF(OR(ISBLANK(L11),ISBLANK('W2'!L13),ISBLANK('W5'!L15)),"N/A",IF((ROUND('W4'!AW29,0)&lt;=ROUND('W4'!AW31,0)),"ok","&lt;&gt;"))</f>
        <v>N/A</v>
      </c>
      <c r="AX33" s="328"/>
      <c r="AY33" s="328" t="str">
        <f>IF(OR(ISBLANK(N11),ISBLANK('W2'!N13),ISBLANK('W5'!N15)),"N/A",IF((ROUND('W4'!AY29,0)&lt;=ROUND('W4'!AY31,0)),"ok","&lt;&gt;"))</f>
        <v>N/A</v>
      </c>
      <c r="AZ33" s="328"/>
      <c r="BA33" s="328" t="str">
        <f>IF(OR(ISBLANK(P11),ISBLANK('W2'!P13),ISBLANK('W5'!P15)),"N/A",IF((ROUND('W4'!BA29,0)&lt;=ROUND('W4'!BA31,0)),"ok","&lt;&gt;"))</f>
        <v>N/A</v>
      </c>
      <c r="BB33" s="328"/>
      <c r="BC33" s="328" t="str">
        <f>IF(OR(ISBLANK(R11),ISBLANK('W2'!R13),ISBLANK('W5'!R15)),"N/A",IF((ROUND('W4'!BC29,0)&lt;=ROUND('W4'!BC31,0)),"ok","&lt;&gt;"))</f>
        <v>N/A</v>
      </c>
      <c r="BD33" s="328"/>
      <c r="BE33" s="328" t="str">
        <f>IF(OR(ISBLANK(T11),ISBLANK('W2'!T13),ISBLANK('W5'!T15)),"N/A",IF((ROUND('W4'!BE29,0)&lt;=ROUND('W4'!BE31,0)),"ok","&lt;&gt;"))</f>
        <v>N/A</v>
      </c>
      <c r="BF33" s="328"/>
      <c r="BG33" s="328" t="str">
        <f>IF(OR(ISBLANK(V11),ISBLANK('W2'!V13),ISBLANK('W5'!V15)),"N/A",IF((ROUND('W4'!BG29,0)&lt;=ROUND('W4'!BG31,0)),"ok","&lt;&gt;"))</f>
        <v>N/A</v>
      </c>
      <c r="BH33" s="328"/>
      <c r="BI33" s="328" t="str">
        <f>IF(OR(ISBLANK(X11),ISBLANK('W2'!X13),ISBLANK('W5'!X15)),"N/A",IF((ROUND('W4'!BI29,0)&lt;=ROUND('W4'!BI31,0)),"ok","&lt;&gt;"))</f>
        <v>N/A</v>
      </c>
      <c r="BJ33" s="328"/>
      <c r="BK33" s="328" t="str">
        <f>IF(OR(ISBLANK(Z11),ISBLANK('W2'!Z13),ISBLANK('W5'!Z15)),"N/A",IF((ROUND('W4'!BK29,0)&lt;=ROUND('W4'!BK31,0)),"ok","&lt;&gt;"))</f>
        <v>N/A</v>
      </c>
      <c r="BL33" s="328"/>
      <c r="BM33" s="328" t="str">
        <f>IF(OR(ISBLANK(AB11),ISBLANK('W2'!AB13),ISBLANK('W5'!AB15)),"N/A",IF((ROUND('W4'!BM29,0)&lt;=ROUND('W4'!BM31,0)),"ok","&lt;&gt;"))</f>
        <v>N/A</v>
      </c>
      <c r="BN33" s="328"/>
      <c r="BO33" s="328" t="str">
        <f>IF(OR(ISBLANK(AD11),ISBLANK('W2'!AD13),ISBLANK('W5'!AD15)),"N/A",IF((ROUND('W4'!BO29,0)&lt;=ROUND('W4'!BO31,0)),"ok","&lt;&gt;"))</f>
        <v>N/A</v>
      </c>
      <c r="BP33" s="328"/>
      <c r="BQ33" s="328" t="str">
        <f>IF(OR(ISBLANK(AF11),ISBLANK('W2'!AF13),ISBLANK('W5'!AF15)),"N/A",IF((ROUND('W4'!BQ29,0)&lt;=ROUND('W4'!BQ31,0)),"ok","&lt;&gt;"))</f>
        <v>N/A</v>
      </c>
      <c r="BR33" s="328"/>
      <c r="BS33" s="328" t="str">
        <f>IF(OR(ISBLANK(AH11),ISBLANK('W2'!AH13),ISBLANK('W5'!AH15)),"N/A",IF((ROUND('W4'!BS29,0)&lt;=ROUND('W4'!BS31,0)),"ok","&lt;&gt;"))</f>
        <v>N/A</v>
      </c>
      <c r="BT33" s="328"/>
      <c r="BU33" s="328" t="str">
        <f>IF(OR(ISBLANK(AJ11),ISBLANK('W2'!AJ13),ISBLANK('W5'!AJ15)),"N/A",IF((ROUND('W4'!BU29,0)&lt;=ROUND('W4'!BU31,0)),"ok","&lt;&gt;"))</f>
        <v>N/A</v>
      </c>
      <c r="BV33" s="328"/>
    </row>
    <row r="34" spans="3:74" ht="6.75" customHeight="1">
      <c r="C34" s="45"/>
      <c r="D34" s="45"/>
      <c r="E34" s="46"/>
      <c r="F34" s="13"/>
      <c r="G34" s="169"/>
      <c r="H34" s="188"/>
      <c r="I34" s="171"/>
      <c r="J34" s="188"/>
      <c r="K34" s="171"/>
      <c r="L34" s="188"/>
      <c r="M34" s="171"/>
      <c r="N34" s="188"/>
      <c r="O34" s="171"/>
      <c r="P34" s="188"/>
      <c r="Q34" s="169"/>
      <c r="R34" s="188"/>
      <c r="S34" s="169"/>
      <c r="T34" s="188"/>
      <c r="U34" s="169"/>
      <c r="V34" s="188"/>
      <c r="W34" s="169"/>
      <c r="X34" s="188"/>
      <c r="Y34" s="169"/>
      <c r="Z34" s="190"/>
      <c r="AA34" s="169"/>
      <c r="AB34" s="188"/>
      <c r="AC34" s="171"/>
      <c r="AD34" s="188"/>
      <c r="AE34" s="169"/>
      <c r="AF34" s="183"/>
      <c r="AG34" s="163"/>
      <c r="AH34" s="183"/>
      <c r="AI34" s="161"/>
      <c r="AJ34" s="177"/>
      <c r="AK34" s="80"/>
      <c r="AL34" s="80"/>
      <c r="AN34" s="468"/>
      <c r="AO34" s="467"/>
      <c r="AP34" s="329"/>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row>
    <row r="35" spans="3:74" ht="18" customHeight="1">
      <c r="C35" s="73" t="s">
        <v>168</v>
      </c>
      <c r="D35" s="686" t="s">
        <v>51</v>
      </c>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8"/>
      <c r="AN35" s="60">
        <v>5</v>
      </c>
      <c r="AO35" s="411" t="s">
        <v>505</v>
      </c>
      <c r="AP35" s="60" t="s">
        <v>169</v>
      </c>
      <c r="AQ35" s="328">
        <f>F13</f>
        <v>0</v>
      </c>
      <c r="AR35" s="328"/>
      <c r="AS35" s="328">
        <f>H13</f>
        <v>0</v>
      </c>
      <c r="AT35" s="328"/>
      <c r="AU35" s="328">
        <f>J13</f>
        <v>0</v>
      </c>
      <c r="AV35" s="328"/>
      <c r="AW35" s="328">
        <f>L13</f>
        <v>0</v>
      </c>
      <c r="AX35" s="328"/>
      <c r="AY35" s="328">
        <f>N13</f>
        <v>0</v>
      </c>
      <c r="AZ35" s="328"/>
      <c r="BA35" s="328">
        <f>P13</f>
        <v>0</v>
      </c>
      <c r="BB35" s="328"/>
      <c r="BC35" s="328">
        <f>R13</f>
        <v>0</v>
      </c>
      <c r="BD35" s="328"/>
      <c r="BE35" s="328">
        <f>T13</f>
        <v>0</v>
      </c>
      <c r="BF35" s="328"/>
      <c r="BG35" s="328">
        <f>V13</f>
        <v>0</v>
      </c>
      <c r="BH35" s="328"/>
      <c r="BI35" s="328">
        <f>X13</f>
        <v>0</v>
      </c>
      <c r="BJ35" s="328"/>
      <c r="BK35" s="328">
        <f>Z13</f>
        <v>0</v>
      </c>
      <c r="BL35" s="328"/>
      <c r="BM35" s="328">
        <f>AB13</f>
        <v>0</v>
      </c>
      <c r="BN35" s="328"/>
      <c r="BO35" s="328">
        <f>AD13</f>
        <v>0</v>
      </c>
      <c r="BP35" s="328"/>
      <c r="BQ35" s="328">
        <f>AF13</f>
        <v>0</v>
      </c>
      <c r="BR35" s="328"/>
      <c r="BS35" s="328">
        <f>AH13</f>
        <v>0</v>
      </c>
      <c r="BT35" s="328"/>
      <c r="BU35" s="328">
        <f>AJ13</f>
        <v>0</v>
      </c>
      <c r="BV35" s="328"/>
    </row>
    <row r="36" spans="3:74" ht="18" customHeight="1">
      <c r="C36" s="522"/>
      <c r="D36" s="701"/>
      <c r="E36" s="702"/>
      <c r="F36" s="702"/>
      <c r="G36" s="702"/>
      <c r="H36" s="702"/>
      <c r="I36" s="702"/>
      <c r="J36" s="702"/>
      <c r="K36" s="702"/>
      <c r="L36" s="702"/>
      <c r="M36" s="702"/>
      <c r="N36" s="702"/>
      <c r="O36" s="702"/>
      <c r="P36" s="702"/>
      <c r="Q36" s="702"/>
      <c r="R36" s="702"/>
      <c r="S36" s="702"/>
      <c r="T36" s="702"/>
      <c r="U36" s="702"/>
      <c r="V36" s="702"/>
      <c r="W36" s="702"/>
      <c r="X36" s="702"/>
      <c r="Y36" s="702"/>
      <c r="Z36" s="702"/>
      <c r="AA36" s="702"/>
      <c r="AB36" s="702"/>
      <c r="AC36" s="702"/>
      <c r="AD36" s="702"/>
      <c r="AE36" s="702"/>
      <c r="AF36" s="702"/>
      <c r="AG36" s="702"/>
      <c r="AH36" s="702"/>
      <c r="AI36" s="702"/>
      <c r="AJ36" s="702"/>
      <c r="AK36" s="702"/>
      <c r="AL36" s="703"/>
      <c r="AN36" s="495">
        <v>11</v>
      </c>
      <c r="AO36" s="467" t="s">
        <v>636</v>
      </c>
      <c r="AP36" s="60" t="s">
        <v>169</v>
      </c>
      <c r="AQ36" s="328">
        <f>'W2'!F14+'W5'!F16</f>
        <v>0</v>
      </c>
      <c r="AR36" s="328">
        <f>'W2'!G14+'W5'!G16</f>
        <v>0</v>
      </c>
      <c r="AS36" s="328">
        <f>'W2'!H14+'W5'!H16</f>
        <v>0</v>
      </c>
      <c r="AT36" s="328">
        <f>'W2'!I14+'W5'!I16</f>
        <v>0</v>
      </c>
      <c r="AU36" s="328">
        <f>'W2'!J14+'W5'!J16</f>
        <v>0</v>
      </c>
      <c r="AV36" s="328">
        <f>'W2'!K14+'W5'!K16</f>
        <v>0</v>
      </c>
      <c r="AW36" s="328">
        <f>'W2'!L14+'W5'!L16</f>
        <v>0</v>
      </c>
      <c r="AX36" s="328">
        <f>'W2'!M14+'W5'!M16</f>
        <v>0</v>
      </c>
      <c r="AY36" s="328">
        <f>'W2'!N14+'W5'!N16</f>
        <v>0</v>
      </c>
      <c r="AZ36" s="328">
        <f>'W2'!O14+'W5'!O16</f>
        <v>0</v>
      </c>
      <c r="BA36" s="328">
        <f>'W2'!P14+'W5'!P16</f>
        <v>0</v>
      </c>
      <c r="BB36" s="328">
        <f>'W2'!Q14+'W5'!Q16</f>
        <v>0</v>
      </c>
      <c r="BC36" s="328">
        <f>'W2'!R14+'W5'!R16</f>
        <v>0</v>
      </c>
      <c r="BD36" s="328">
        <f>'W2'!S14+'W5'!S16</f>
        <v>0</v>
      </c>
      <c r="BE36" s="328">
        <f>'W2'!T14+'W5'!T16</f>
        <v>0</v>
      </c>
      <c r="BF36" s="328">
        <f>'W2'!U14+'W5'!U16</f>
        <v>0</v>
      </c>
      <c r="BG36" s="328">
        <f>'W2'!V14+'W5'!V16</f>
        <v>0</v>
      </c>
      <c r="BH36" s="328">
        <f>'W2'!W14+'W5'!W16</f>
        <v>0</v>
      </c>
      <c r="BI36" s="328">
        <f>'W2'!X14+'W5'!X16</f>
        <v>0</v>
      </c>
      <c r="BJ36" s="328">
        <f>'W2'!Y14+'W5'!Y16</f>
        <v>0</v>
      </c>
      <c r="BK36" s="328">
        <f>'W2'!Z14+'W5'!Z16</f>
        <v>0</v>
      </c>
      <c r="BL36" s="328">
        <f>'W2'!AA14+'W5'!AA16</f>
        <v>0</v>
      </c>
      <c r="BM36" s="328">
        <f>'W2'!AB14+'W5'!AB16</f>
        <v>0</v>
      </c>
      <c r="BN36" s="328">
        <f>'W2'!AC14+'W5'!AC16</f>
        <v>0</v>
      </c>
      <c r="BO36" s="328">
        <f>'W2'!AD14+'W5'!AD16</f>
        <v>0</v>
      </c>
      <c r="BP36" s="328">
        <f>'W2'!AE14+'W5'!AE16</f>
        <v>0</v>
      </c>
      <c r="BQ36" s="328">
        <f>'W2'!AF14+'W5'!AF16</f>
        <v>0</v>
      </c>
      <c r="BR36" s="328">
        <f>'W2'!AG14+'W5'!AG16</f>
        <v>0</v>
      </c>
      <c r="BS36" s="328">
        <f>'W2'!AH14+'W5'!AH16</f>
        <v>0</v>
      </c>
      <c r="BT36" s="328">
        <f>'W2'!AI14+'W5'!AI16</f>
        <v>0</v>
      </c>
      <c r="BU36" s="328">
        <f>'W2'!AJ14+'W5'!AJ16</f>
        <v>0</v>
      </c>
      <c r="BV36" s="328"/>
    </row>
    <row r="37" spans="3:74" ht="18" customHeight="1">
      <c r="C37" s="522"/>
      <c r="D37" s="691"/>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9"/>
      <c r="AN37" s="468" t="s">
        <v>677</v>
      </c>
      <c r="AO37" s="467" t="s">
        <v>637</v>
      </c>
      <c r="AP37" s="329"/>
      <c r="AQ37" s="328" t="str">
        <f>IF(OR(ISBLANK(F13),ISBLANK('W2'!F14),ISBLANK('W5'!F16)),"N/A",IF((ROUND('W4'!AQ35,0)&lt;=ROUND('W4'!AQ36,0)),"ok","&lt;&gt;"))</f>
        <v>N/A</v>
      </c>
      <c r="AR37" s="328"/>
      <c r="AS37" s="328" t="str">
        <f>IF(OR(ISBLANK(H13),ISBLANK('W2'!H14),ISBLANK('W5'!H16)),"N/A",IF((ROUND('W4'!AS35,0)&lt;=ROUND('W4'!AS36,0)),"ok","&lt;&gt;"))</f>
        <v>N/A</v>
      </c>
      <c r="AT37" s="328"/>
      <c r="AU37" s="328" t="str">
        <f>IF(OR(ISBLANK(J13),ISBLANK('W2'!J14),ISBLANK('W5'!J16)),"N/A",IF((ROUND('W4'!AU35,0)&lt;=ROUND('W4'!AU36,0)),"ok","&lt;&gt;"))</f>
        <v>N/A</v>
      </c>
      <c r="AV37" s="328"/>
      <c r="AW37" s="328" t="str">
        <f>IF(OR(ISBLANK(L13),ISBLANK('W2'!L14),ISBLANK('W5'!L16)),"N/A",IF((ROUND('W4'!AW35,0)&lt;=ROUND('W4'!AW36,0)),"ok","&lt;&gt;"))</f>
        <v>N/A</v>
      </c>
      <c r="AX37" s="328"/>
      <c r="AY37" s="328" t="str">
        <f>IF(OR(ISBLANK(N13),ISBLANK('W2'!N14),ISBLANK('W5'!N16)),"N/A",IF((ROUND('W4'!AY35,0)&lt;=ROUND('W4'!AY36,0)),"ok","&lt;&gt;"))</f>
        <v>N/A</v>
      </c>
      <c r="AZ37" s="328"/>
      <c r="BA37" s="328" t="str">
        <f>IF(OR(ISBLANK(P13),ISBLANK('W2'!P14),ISBLANK('W5'!P16)),"N/A",IF((ROUND('W4'!BA35,0)&lt;=ROUND('W4'!BA36,0)),"ok","&lt;&gt;"))</f>
        <v>N/A</v>
      </c>
      <c r="BB37" s="328"/>
      <c r="BC37" s="328" t="str">
        <f>IF(OR(ISBLANK(R13),ISBLANK('W2'!R14),ISBLANK('W5'!R16)),"N/A",IF((ROUND('W4'!BC35,0)&lt;=ROUND('W4'!BC36,0)),"ok","&lt;&gt;"))</f>
        <v>N/A</v>
      </c>
      <c r="BD37" s="328"/>
      <c r="BE37" s="328" t="str">
        <f>IF(OR(ISBLANK(T13),ISBLANK('W2'!T14),ISBLANK('W5'!T16)),"N/A",IF((ROUND('W4'!BE35,0)&lt;=ROUND('W4'!BE36,0)),"ok","&lt;&gt;"))</f>
        <v>N/A</v>
      </c>
      <c r="BF37" s="328"/>
      <c r="BG37" s="328" t="str">
        <f>IF(OR(ISBLANK(V13),ISBLANK('W2'!V14),ISBLANK('W5'!V16)),"N/A",IF((ROUND('W4'!BG35,0)&lt;=ROUND('W4'!BG36,0)),"ok","&lt;&gt;"))</f>
        <v>N/A</v>
      </c>
      <c r="BH37" s="328"/>
      <c r="BI37" s="328" t="str">
        <f>IF(OR(ISBLANK(X13),ISBLANK('W2'!X14),ISBLANK('W5'!X16)),"N/A",IF((ROUND('W4'!BI35,0)&lt;=ROUND('W4'!BI36,0)),"ok","&lt;&gt;"))</f>
        <v>N/A</v>
      </c>
      <c r="BJ37" s="328"/>
      <c r="BK37" s="328" t="str">
        <f>IF(OR(ISBLANK(Z13),ISBLANK('W2'!Z14),ISBLANK('W5'!Z16)),"N/A",IF((ROUND('W4'!BK35,0)&lt;=ROUND('W4'!BK36,0)),"ok","&lt;&gt;"))</f>
        <v>N/A</v>
      </c>
      <c r="BL37" s="328"/>
      <c r="BM37" s="328" t="str">
        <f>IF(OR(ISBLANK(AB13),ISBLANK('W2'!AB14),ISBLANK('W5'!AB16)),"N/A",IF((ROUND('W4'!BM35,0)&lt;=ROUND('W4'!BM36,0)),"ok","&lt;&gt;"))</f>
        <v>N/A</v>
      </c>
      <c r="BN37" s="328"/>
      <c r="BO37" s="328" t="str">
        <f>IF(OR(ISBLANK(AD13),ISBLANK('W2'!AD14),ISBLANK('W5'!AD16)),"N/A",IF((ROUND('W4'!BO35,0)&lt;=ROUND('W4'!BO36,0)),"ok","&lt;&gt;"))</f>
        <v>N/A</v>
      </c>
      <c r="BP37" s="328"/>
      <c r="BQ37" s="328" t="str">
        <f>IF(OR(ISBLANK(AF13),ISBLANK('W2'!AF14),ISBLANK('W5'!AF16)),"N/A",IF((ROUND('W4'!BQ35,0)&lt;=ROUND('W4'!BQ36,0)),"ok","&lt;&gt;"))</f>
        <v>N/A</v>
      </c>
      <c r="BR37" s="328"/>
      <c r="BS37" s="328" t="str">
        <f>IF(OR(ISBLANK(AH13),ISBLANK('W2'!AH14),ISBLANK('W5'!AH16)),"N/A",IF((ROUND('W4'!BS35,0)&lt;=ROUND('W4'!BS36,0)),"ok","&lt;&gt;"))</f>
        <v>N/A</v>
      </c>
      <c r="BT37" s="328"/>
      <c r="BU37" s="328" t="str">
        <f>IF(OR(ISBLANK(AJ13),ISBLANK('W2'!AJ14),ISBLANK('W5'!AJ16)),"N/A",IF((ROUND('W4'!BU35,0)&lt;=ROUND('W4'!BU36,0)),"ok","&lt;&gt;"))</f>
        <v>N/A</v>
      </c>
      <c r="BV37" s="328"/>
    </row>
    <row r="38" spans="3:74" ht="18" customHeight="1">
      <c r="C38" s="522"/>
      <c r="D38" s="691"/>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9"/>
      <c r="AN38" s="60">
        <v>6</v>
      </c>
      <c r="AO38" s="410" t="s">
        <v>676</v>
      </c>
      <c r="AP38" s="60" t="s">
        <v>169</v>
      </c>
      <c r="AQ38" s="328">
        <f>F14</f>
        <v>0</v>
      </c>
      <c r="AR38" s="328"/>
      <c r="AS38" s="328">
        <f>H14</f>
        <v>0</v>
      </c>
      <c r="AT38" s="328"/>
      <c r="AU38" s="328">
        <f>J14</f>
        <v>0</v>
      </c>
      <c r="AV38" s="328"/>
      <c r="AW38" s="328">
        <f>L14</f>
        <v>0</v>
      </c>
      <c r="AX38" s="328"/>
      <c r="AY38" s="328">
        <f>N14</f>
        <v>0</v>
      </c>
      <c r="AZ38" s="328"/>
      <c r="BA38" s="328">
        <f>P14</f>
        <v>0</v>
      </c>
      <c r="BB38" s="328"/>
      <c r="BC38" s="328">
        <f>R14</f>
        <v>0</v>
      </c>
      <c r="BD38" s="328"/>
      <c r="BE38" s="328">
        <f>T14</f>
        <v>0</v>
      </c>
      <c r="BF38" s="328"/>
      <c r="BG38" s="328">
        <f>V14</f>
        <v>0</v>
      </c>
      <c r="BH38" s="328"/>
      <c r="BI38" s="328">
        <f>X14</f>
        <v>0</v>
      </c>
      <c r="BJ38" s="328"/>
      <c r="BK38" s="328">
        <f>Z14</f>
        <v>0</v>
      </c>
      <c r="BL38" s="328"/>
      <c r="BM38" s="328">
        <f>AB14</f>
        <v>0</v>
      </c>
      <c r="BN38" s="328"/>
      <c r="BO38" s="328">
        <f>AD14</f>
        <v>0</v>
      </c>
      <c r="BP38" s="328"/>
      <c r="BQ38" s="328">
        <f>AF14</f>
        <v>0</v>
      </c>
      <c r="BR38" s="328"/>
      <c r="BS38" s="328">
        <f>AH14</f>
        <v>0</v>
      </c>
      <c r="BT38" s="328"/>
      <c r="BU38" s="328">
        <f>AJ14</f>
        <v>0</v>
      </c>
      <c r="BV38" s="328"/>
    </row>
    <row r="39" spans="3:74" ht="18" customHeight="1">
      <c r="C39" s="522"/>
      <c r="D39" s="691"/>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9"/>
      <c r="AN39" s="476">
        <v>12</v>
      </c>
      <c r="AO39" s="467" t="s">
        <v>638</v>
      </c>
      <c r="AP39" s="60" t="s">
        <v>169</v>
      </c>
      <c r="AQ39" s="328">
        <f>'W2'!F15+'W5'!F17</f>
        <v>0</v>
      </c>
      <c r="AR39" s="328">
        <f>'W2'!G15+'W5'!G17</f>
        <v>0</v>
      </c>
      <c r="AS39" s="328">
        <f>'W2'!H15+'W5'!H17</f>
        <v>0</v>
      </c>
      <c r="AT39" s="328">
        <f>'W2'!I15+'W5'!I17</f>
        <v>0</v>
      </c>
      <c r="AU39" s="328">
        <f>'W2'!J15+'W5'!J17</f>
        <v>0</v>
      </c>
      <c r="AV39" s="328">
        <f>'W2'!K15+'W5'!K17</f>
        <v>0</v>
      </c>
      <c r="AW39" s="328">
        <f>'W2'!L15+'W5'!L17</f>
        <v>0</v>
      </c>
      <c r="AX39" s="328">
        <f>'W2'!M15+'W5'!M17</f>
        <v>0</v>
      </c>
      <c r="AY39" s="328">
        <f>'W2'!N15+'W5'!N17</f>
        <v>0</v>
      </c>
      <c r="AZ39" s="328">
        <f>'W2'!O15+'W5'!O17</f>
        <v>0</v>
      </c>
      <c r="BA39" s="328">
        <f>'W2'!P15+'W5'!P17</f>
        <v>0</v>
      </c>
      <c r="BB39" s="328">
        <f>'W2'!Q15+'W5'!Q17</f>
        <v>0</v>
      </c>
      <c r="BC39" s="328">
        <f>'W2'!R15+'W5'!R17</f>
        <v>0</v>
      </c>
      <c r="BD39" s="328">
        <f>'W2'!S15+'W5'!S17</f>
        <v>0</v>
      </c>
      <c r="BE39" s="328">
        <f>'W2'!T15+'W5'!T17</f>
        <v>0</v>
      </c>
      <c r="BF39" s="328">
        <f>'W2'!U15+'W5'!U17</f>
        <v>0</v>
      </c>
      <c r="BG39" s="328">
        <f>'W2'!V15+'W5'!V17</f>
        <v>0</v>
      </c>
      <c r="BH39" s="328">
        <f>'W2'!W15+'W5'!W17</f>
        <v>0</v>
      </c>
      <c r="BI39" s="328">
        <f>'W2'!X15+'W5'!X17</f>
        <v>0</v>
      </c>
      <c r="BJ39" s="328">
        <f>'W2'!Y15+'W5'!Y17</f>
        <v>0</v>
      </c>
      <c r="BK39" s="328">
        <f>'W2'!Z15+'W5'!Z17</f>
        <v>0</v>
      </c>
      <c r="BL39" s="328">
        <f>'W2'!AA15+'W5'!AA17</f>
        <v>0</v>
      </c>
      <c r="BM39" s="328">
        <f>'W2'!AB15+'W5'!AB17</f>
        <v>0</v>
      </c>
      <c r="BN39" s="328">
        <f>'W2'!AC15+'W5'!AC17</f>
        <v>0</v>
      </c>
      <c r="BO39" s="328">
        <f>'W2'!AD15+'W5'!AD17</f>
        <v>0</v>
      </c>
      <c r="BP39" s="328">
        <f>'W2'!AE15+'W5'!AE17</f>
        <v>0</v>
      </c>
      <c r="BQ39" s="328">
        <f>'W2'!AF15+'W5'!AF17</f>
        <v>0</v>
      </c>
      <c r="BR39" s="328">
        <f>'W2'!AG15+'W5'!AG17</f>
        <v>0</v>
      </c>
      <c r="BS39" s="328">
        <f>'W2'!AH15+'W5'!AH17</f>
        <v>0</v>
      </c>
      <c r="BT39" s="328">
        <f>'W2'!AI15+'W5'!AI17</f>
        <v>0</v>
      </c>
      <c r="BU39" s="328">
        <f>'W2'!AJ15+'W5'!AJ17</f>
        <v>0</v>
      </c>
      <c r="BV39" s="328"/>
    </row>
    <row r="40" spans="3:74" ht="18" customHeight="1">
      <c r="C40" s="522"/>
      <c r="D40" s="691"/>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9"/>
      <c r="AN40" s="483" t="s">
        <v>677</v>
      </c>
      <c r="AO40" s="477" t="s">
        <v>639</v>
      </c>
      <c r="AP40" s="498"/>
      <c r="AQ40" s="447" t="str">
        <f>IF(OR(ISBLANK(F14),ISBLANK('W2'!F15),ISBLANK('W5'!F17)),"N/A",IF((ROUND('W4'!AQ38,0)&lt;=ROUND('W4'!AQ39,0)),"ok","&lt;&gt;"))</f>
        <v>N/A</v>
      </c>
      <c r="AR40" s="447"/>
      <c r="AS40" s="447" t="str">
        <f>IF(OR(ISBLANK(H14),ISBLANK('W2'!H15),ISBLANK('W5'!H17)),"N/A",IF((ROUND('W4'!AS38,0)&lt;=ROUND('W4'!AS39,0)),"ok","&lt;&gt;"))</f>
        <v>N/A</v>
      </c>
      <c r="AT40" s="447"/>
      <c r="AU40" s="447" t="str">
        <f>IF(OR(ISBLANK(J14),ISBLANK('W2'!J15),ISBLANK('W5'!J17)),"N/A",IF((ROUND('W4'!AU38,0)&lt;=ROUND('W4'!AU39,0)),"ok","&lt;&gt;"))</f>
        <v>N/A</v>
      </c>
      <c r="AV40" s="447"/>
      <c r="AW40" s="447" t="str">
        <f>IF(OR(ISBLANK(L14),ISBLANK('W2'!L15),ISBLANK('W5'!L17)),"N/A",IF((ROUND('W4'!AW38,0)&lt;=ROUND('W4'!AW39,0)),"ok","&lt;&gt;"))</f>
        <v>N/A</v>
      </c>
      <c r="AX40" s="447"/>
      <c r="AY40" s="447" t="str">
        <f>IF(OR(ISBLANK(N14),ISBLANK('W2'!N15),ISBLANK('W5'!N17)),"N/A",IF((ROUND('W4'!AY38,0)&lt;=ROUND('W4'!AY39,0)),"ok","&lt;&gt;"))</f>
        <v>N/A</v>
      </c>
      <c r="AZ40" s="447"/>
      <c r="BA40" s="447" t="str">
        <f>IF(OR(ISBLANK(P14),ISBLANK('W2'!P15),ISBLANK('W5'!P17)),"N/A",IF((ROUND('W4'!BA38,0)&lt;=ROUND('W4'!BA39,0)),"ok","&lt;&gt;"))</f>
        <v>N/A</v>
      </c>
      <c r="BB40" s="447"/>
      <c r="BC40" s="447" t="str">
        <f>IF(OR(ISBLANK(R14),ISBLANK('W2'!R15),ISBLANK('W5'!R17)),"N/A",IF((ROUND('W4'!BC38,0)&lt;=ROUND('W4'!BC39,0)),"ok","&lt;&gt;"))</f>
        <v>N/A</v>
      </c>
      <c r="BD40" s="447"/>
      <c r="BE40" s="447" t="str">
        <f>IF(OR(ISBLANK(T14),ISBLANK('W2'!T15),ISBLANK('W5'!T17)),"N/A",IF((ROUND('W4'!BE38,0)&lt;=ROUND('W4'!BE39,0)),"ok","&lt;&gt;"))</f>
        <v>N/A</v>
      </c>
      <c r="BF40" s="447"/>
      <c r="BG40" s="447" t="str">
        <f>IF(OR(ISBLANK(V14),ISBLANK('W2'!V15),ISBLANK('W5'!V17)),"N/A",IF((ROUND('W4'!BG38,0)&lt;=ROUND('W4'!BG39,0)),"ok","&lt;&gt;"))</f>
        <v>N/A</v>
      </c>
      <c r="BH40" s="447"/>
      <c r="BI40" s="447" t="str">
        <f>IF(OR(ISBLANK(X14),ISBLANK('W2'!X15),ISBLANK('W5'!X17)),"N/A",IF((ROUND('W4'!BI38,0)&lt;=ROUND('W4'!BI39,0)),"ok","&lt;&gt;"))</f>
        <v>N/A</v>
      </c>
      <c r="BJ40" s="447"/>
      <c r="BK40" s="447" t="str">
        <f>IF(OR(ISBLANK(Z14),ISBLANK('W2'!Z15),ISBLANK('W5'!Z17)),"N/A",IF((ROUND('W4'!BK38,0)&lt;=ROUND('W4'!BK39,0)),"ok","&lt;&gt;"))</f>
        <v>N/A</v>
      </c>
      <c r="BL40" s="447"/>
      <c r="BM40" s="447" t="str">
        <f>IF(OR(ISBLANK(AB14),ISBLANK('W2'!AB15),ISBLANK('W5'!AB17)),"N/A",IF((ROUND('W4'!BM38,0)&lt;=ROUND('W4'!BM39,0)),"ok","&lt;&gt;"))</f>
        <v>N/A</v>
      </c>
      <c r="BN40" s="447"/>
      <c r="BO40" s="447" t="str">
        <f>IF(OR(ISBLANK(AD14),ISBLANK('W2'!AD15),ISBLANK('W5'!AD17)),"N/A",IF((ROUND('W4'!BO38,0)&lt;=ROUND('W4'!BO39,0)),"ok","&lt;&gt;"))</f>
        <v>N/A</v>
      </c>
      <c r="BP40" s="447"/>
      <c r="BQ40" s="447" t="str">
        <f>IF(OR(ISBLANK(AF14),ISBLANK('W2'!AF15),ISBLANK('W5'!AF17)),"N/A",IF((ROUND('W4'!BQ38,0)&lt;=ROUND('W4'!BQ39,0)),"ok","&lt;&gt;"))</f>
        <v>N/A</v>
      </c>
      <c r="BR40" s="447"/>
      <c r="BS40" s="447" t="str">
        <f>IF(OR(ISBLANK(AH14),ISBLANK('W2'!AH15),ISBLANK('W5'!AH17)),"N/A",IF((ROUND('W4'!BS38,0)&lt;=ROUND('W4'!BS39,0)),"ok","&lt;&gt;"))</f>
        <v>N/A</v>
      </c>
      <c r="BT40" s="447"/>
      <c r="BU40" s="447" t="str">
        <f>IF(OR(ISBLANK(AJ14),ISBLANK('W2'!AJ15),ISBLANK('W5'!AJ17)),"N/A",IF((ROUND('W4'!BU38,0)&lt;=ROUND('W4'!BU39,0)),"ok","&lt;&gt;"))</f>
        <v>N/A</v>
      </c>
      <c r="BV40" s="447"/>
    </row>
    <row r="41" spans="3:41" ht="18" customHeight="1">
      <c r="C41" s="522"/>
      <c r="D41" s="691"/>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9"/>
      <c r="AN41" s="449" t="s">
        <v>616</v>
      </c>
      <c r="AO41" s="478" t="s">
        <v>617</v>
      </c>
    </row>
    <row r="42" spans="3:51" ht="18" customHeight="1">
      <c r="C42" s="522"/>
      <c r="D42" s="691"/>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9"/>
      <c r="AN42" s="449" t="s">
        <v>618</v>
      </c>
      <c r="AO42" s="478" t="s">
        <v>619</v>
      </c>
      <c r="AP42" s="251"/>
      <c r="AQ42" s="251"/>
      <c r="AR42" s="251"/>
      <c r="AS42" s="251"/>
      <c r="AT42" s="251"/>
      <c r="AU42" s="251"/>
      <c r="AV42" s="251"/>
      <c r="AW42" s="251"/>
      <c r="AX42" s="251"/>
      <c r="AY42" s="251"/>
    </row>
    <row r="43" spans="3:51" ht="18" customHeight="1">
      <c r="C43" s="522"/>
      <c r="D43" s="691"/>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9"/>
      <c r="AN43" s="449" t="s">
        <v>621</v>
      </c>
      <c r="AO43" s="478" t="s">
        <v>623</v>
      </c>
      <c r="AP43" s="251"/>
      <c r="AQ43" s="251"/>
      <c r="AR43" s="251"/>
      <c r="AS43" s="251"/>
      <c r="AT43" s="251"/>
      <c r="AU43" s="251"/>
      <c r="AV43" s="251"/>
      <c r="AW43" s="251"/>
      <c r="AX43" s="251"/>
      <c r="AY43" s="251"/>
    </row>
    <row r="44" spans="3:51" ht="18" customHeight="1">
      <c r="C44" s="522"/>
      <c r="D44" s="691"/>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9"/>
      <c r="AN44" s="451" t="s">
        <v>620</v>
      </c>
      <c r="AO44" s="478" t="s">
        <v>533</v>
      </c>
      <c r="AP44" s="251"/>
      <c r="AQ44" s="251"/>
      <c r="AR44" s="251"/>
      <c r="AS44" s="251"/>
      <c r="AT44" s="251"/>
      <c r="AU44" s="251"/>
      <c r="AV44" s="251"/>
      <c r="AW44" s="251"/>
      <c r="AX44" s="251"/>
      <c r="AY44" s="251"/>
    </row>
    <row r="45" spans="3:38" ht="18" customHeight="1">
      <c r="C45" s="522"/>
      <c r="D45" s="691"/>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9"/>
    </row>
    <row r="46" spans="3:38" ht="18" customHeight="1">
      <c r="C46" s="522"/>
      <c r="D46" s="691"/>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9"/>
    </row>
    <row r="47" spans="3:38" ht="18" customHeight="1">
      <c r="C47" s="522"/>
      <c r="D47" s="691"/>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9"/>
    </row>
    <row r="48" spans="3:41" ht="18" customHeight="1">
      <c r="C48" s="522"/>
      <c r="D48" s="691"/>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9"/>
      <c r="AN48" s="453"/>
      <c r="AO48" s="488"/>
    </row>
    <row r="49" spans="3:41" ht="18" customHeight="1">
      <c r="C49" s="522"/>
      <c r="D49" s="691"/>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9"/>
      <c r="AN49" s="449"/>
      <c r="AO49" s="478"/>
    </row>
    <row r="50" spans="3:41" ht="18" customHeight="1">
      <c r="C50" s="522"/>
      <c r="D50" s="691"/>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9"/>
      <c r="AN50" s="386"/>
      <c r="AO50" s="488"/>
    </row>
    <row r="51" spans="3:41" ht="18" customHeight="1">
      <c r="C51" s="522"/>
      <c r="D51" s="691"/>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9"/>
      <c r="AN51" s="451"/>
      <c r="AO51" s="478"/>
    </row>
    <row r="52" spans="3:41" ht="18" customHeight="1">
      <c r="C52" s="522"/>
      <c r="D52" s="691"/>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9"/>
      <c r="AN52" s="450"/>
      <c r="AO52" s="479"/>
    </row>
    <row r="53" spans="3:41" ht="18" customHeight="1">
      <c r="C53" s="522"/>
      <c r="D53" s="691"/>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9"/>
      <c r="AN53" s="451"/>
      <c r="AO53" s="478"/>
    </row>
    <row r="54" spans="3:38" ht="18" customHeight="1">
      <c r="C54" s="522"/>
      <c r="D54" s="691"/>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9"/>
    </row>
    <row r="55" spans="3:38" ht="18" customHeight="1">
      <c r="C55" s="522"/>
      <c r="D55" s="691"/>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3"/>
      <c r="AK55" s="693"/>
      <c r="AL55" s="699"/>
    </row>
    <row r="56" spans="3:38" ht="18" customHeight="1">
      <c r="C56" s="523"/>
      <c r="D56" s="691"/>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3"/>
      <c r="AL56" s="699"/>
    </row>
    <row r="57" spans="3:74" ht="18" customHeight="1">
      <c r="C57" s="524"/>
      <c r="D57" s="697"/>
      <c r="E57" s="698"/>
      <c r="F57" s="698"/>
      <c r="G57" s="698"/>
      <c r="H57" s="698"/>
      <c r="I57" s="698"/>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8"/>
      <c r="AI57" s="698"/>
      <c r="AJ57" s="698"/>
      <c r="AK57" s="698"/>
      <c r="AL57" s="700"/>
      <c r="AN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row>
    <row r="58" spans="1:74" s="14" customFormat="1" ht="10.5" customHeight="1">
      <c r="A58" s="427"/>
      <c r="B58" s="408"/>
      <c r="C58" s="50"/>
      <c r="D58" s="50"/>
      <c r="E58"/>
      <c r="F58"/>
      <c r="G58" s="8"/>
      <c r="H58" s="161"/>
      <c r="I58" s="177"/>
      <c r="J58" s="165"/>
      <c r="K58" s="177"/>
      <c r="L58" s="165"/>
      <c r="M58" s="177"/>
      <c r="N58" s="165"/>
      <c r="O58" s="177"/>
      <c r="P58" s="165"/>
      <c r="Q58" s="177"/>
      <c r="R58" s="161"/>
      <c r="S58" s="177"/>
      <c r="T58" s="161"/>
      <c r="U58" s="177"/>
      <c r="V58" s="161"/>
      <c r="W58" s="177"/>
      <c r="X58" s="161"/>
      <c r="Y58" s="177"/>
      <c r="Z58" s="161"/>
      <c r="AA58" s="191"/>
      <c r="AB58" s="161"/>
      <c r="AC58" s="177"/>
      <c r="AD58" s="165"/>
      <c r="AE58" s="177"/>
      <c r="AF58" s="161"/>
      <c r="AG58" s="177"/>
      <c r="AH58" s="161"/>
      <c r="AI58" s="183"/>
      <c r="AJ58" s="163"/>
      <c r="AK58" s="183"/>
      <c r="AM58" s="251"/>
      <c r="AN58" s="251"/>
      <c r="AO58" s="307"/>
      <c r="AP58" s="307"/>
      <c r="AQ58" s="307"/>
      <c r="AR58" s="307"/>
      <c r="AS58" s="307"/>
      <c r="AT58" s="307"/>
      <c r="AU58" s="307"/>
      <c r="AV58" s="307"/>
      <c r="AW58" s="307"/>
      <c r="AX58" s="307"/>
      <c r="AY58" s="307"/>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row>
    <row r="59" spans="1:74" s="14" customFormat="1" ht="12.75">
      <c r="A59" s="427"/>
      <c r="B59" s="408"/>
      <c r="C59" s="50"/>
      <c r="D59" s="50"/>
      <c r="E59"/>
      <c r="F59"/>
      <c r="G59" s="8"/>
      <c r="H59" s="161"/>
      <c r="I59" s="177"/>
      <c r="J59" s="165"/>
      <c r="K59" s="177"/>
      <c r="L59" s="165"/>
      <c r="M59" s="177"/>
      <c r="N59" s="165"/>
      <c r="O59" s="177"/>
      <c r="P59" s="165"/>
      <c r="Q59" s="177"/>
      <c r="R59" s="161"/>
      <c r="S59" s="177"/>
      <c r="T59" s="161"/>
      <c r="U59" s="177"/>
      <c r="V59" s="161"/>
      <c r="W59" s="177"/>
      <c r="X59" s="161"/>
      <c r="Y59" s="177"/>
      <c r="Z59" s="161"/>
      <c r="AA59" s="177"/>
      <c r="AB59" s="161"/>
      <c r="AC59" s="177"/>
      <c r="AD59" s="165"/>
      <c r="AE59" s="177"/>
      <c r="AF59" s="161"/>
      <c r="AG59" s="177"/>
      <c r="AH59" s="161"/>
      <c r="AI59" s="183"/>
      <c r="AJ59" s="163"/>
      <c r="AK59" s="183"/>
      <c r="AM59" s="251"/>
      <c r="AN59" s="251"/>
      <c r="AO59" s="307"/>
      <c r="AP59" s="307"/>
      <c r="AQ59" s="307"/>
      <c r="AR59" s="307"/>
      <c r="AS59" s="307"/>
      <c r="AT59" s="307"/>
      <c r="AU59" s="307"/>
      <c r="AV59" s="307"/>
      <c r="AW59" s="307"/>
      <c r="AX59" s="307"/>
      <c r="AY59" s="307"/>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row>
    <row r="60" spans="1:74" s="14" customFormat="1" ht="12.75">
      <c r="A60" s="427"/>
      <c r="B60" s="408"/>
      <c r="C60" s="50"/>
      <c r="D60" s="50"/>
      <c r="E60"/>
      <c r="F60"/>
      <c r="G60"/>
      <c r="H60" s="161"/>
      <c r="I60" s="177"/>
      <c r="J60" s="165"/>
      <c r="K60" s="177"/>
      <c r="L60" s="165"/>
      <c r="M60" s="177"/>
      <c r="N60" s="165"/>
      <c r="O60" s="177"/>
      <c r="P60" s="165"/>
      <c r="Q60" s="177"/>
      <c r="R60" s="161"/>
      <c r="S60" s="177"/>
      <c r="T60" s="161"/>
      <c r="U60" s="177"/>
      <c r="V60" s="161"/>
      <c r="W60" s="177"/>
      <c r="X60" s="161"/>
      <c r="Y60" s="177"/>
      <c r="Z60" s="161"/>
      <c r="AA60" s="177"/>
      <c r="AB60" s="161"/>
      <c r="AC60" s="177"/>
      <c r="AD60" s="165"/>
      <c r="AE60" s="177"/>
      <c r="AF60" s="161"/>
      <c r="AG60" s="177"/>
      <c r="AH60" s="161"/>
      <c r="AI60" s="183"/>
      <c r="AJ60" s="163"/>
      <c r="AK60" s="183"/>
      <c r="AM60" s="251"/>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row>
    <row r="61" spans="3:4" ht="12.75">
      <c r="C61" s="50"/>
      <c r="D61" s="50"/>
    </row>
    <row r="62" spans="3:34" ht="12.75">
      <c r="C62" s="7"/>
      <c r="D62" s="7"/>
      <c r="E62" s="7"/>
      <c r="F62" s="7"/>
      <c r="G62" s="7"/>
      <c r="H62" s="163"/>
      <c r="I62" s="183"/>
      <c r="J62" s="167"/>
      <c r="K62" s="183"/>
      <c r="L62" s="167"/>
      <c r="M62" s="183"/>
      <c r="N62" s="167"/>
      <c r="O62" s="183"/>
      <c r="P62" s="167"/>
      <c r="Q62" s="183"/>
      <c r="R62" s="163"/>
      <c r="S62" s="183"/>
      <c r="T62" s="163"/>
      <c r="U62" s="183"/>
      <c r="V62" s="163"/>
      <c r="W62" s="183"/>
      <c r="X62" s="163"/>
      <c r="Y62" s="183"/>
      <c r="Z62" s="163"/>
      <c r="AA62" s="183"/>
      <c r="AB62" s="163"/>
      <c r="AC62" s="183"/>
      <c r="AD62" s="167"/>
      <c r="AE62" s="183"/>
      <c r="AF62" s="163"/>
      <c r="AG62" s="183"/>
      <c r="AH62" s="163"/>
    </row>
  </sheetData>
  <sheetProtection sheet="1" objects="1" scenarios="1" formatCells="0" formatColumns="0" formatRows="0" insertColumns="0"/>
  <mergeCells count="39">
    <mergeCell ref="D21:AL21"/>
    <mergeCell ref="AN3:BV3"/>
    <mergeCell ref="D19:AL19"/>
    <mergeCell ref="D18:AL18"/>
    <mergeCell ref="C5:AL5"/>
    <mergeCell ref="AN6:BV6"/>
    <mergeCell ref="AN17:BV17"/>
    <mergeCell ref="D20:AL20"/>
    <mergeCell ref="D46:AL46"/>
    <mergeCell ref="D41:AL41"/>
    <mergeCell ref="AD23:AJ23"/>
    <mergeCell ref="D22:AL22"/>
    <mergeCell ref="AD25:AJ25"/>
    <mergeCell ref="Y27:AA27"/>
    <mergeCell ref="R26:X28"/>
    <mergeCell ref="AD27:AJ27"/>
    <mergeCell ref="D38:AL38"/>
    <mergeCell ref="D43:AL43"/>
    <mergeCell ref="D44:AL44"/>
    <mergeCell ref="D45:AL45"/>
    <mergeCell ref="D57:AL57"/>
    <mergeCell ref="D49:AL49"/>
    <mergeCell ref="D50:AL50"/>
    <mergeCell ref="D51:AL51"/>
    <mergeCell ref="D52:AL52"/>
    <mergeCell ref="D53:AL53"/>
    <mergeCell ref="D54:AL54"/>
    <mergeCell ref="D56:AL56"/>
    <mergeCell ref="D55:AL55"/>
    <mergeCell ref="AD29:AJ29"/>
    <mergeCell ref="AD31:AJ31"/>
    <mergeCell ref="D42:AL42"/>
    <mergeCell ref="D48:AL48"/>
    <mergeCell ref="D35:AL35"/>
    <mergeCell ref="D39:AL39"/>
    <mergeCell ref="D40:AL40"/>
    <mergeCell ref="D47:AL47"/>
    <mergeCell ref="D36:AL36"/>
    <mergeCell ref="D37:AL37"/>
  </mergeCells>
  <conditionalFormatting sqref="F8 J8 R8 T8 V8 X8 Z8 AD8 AF8 AH8 AJ8 P8 N8 L8">
    <cfRule type="cellIs" priority="1" dxfId="0" operator="lessThan" stopIfTrue="1">
      <formula>F10+F11+F13+F14+F15</formula>
    </cfRule>
  </conditionalFormatting>
  <conditionalFormatting sqref="BL28">
    <cfRule type="cellIs" priority="2" dxfId="0" operator="lessThan" stopIfTrue="1">
      <formula>BJ15+#REF!+BK16+BK17+BL18+#REF!+BL20</formula>
    </cfRule>
  </conditionalFormatting>
  <conditionalFormatting sqref="BL24">
    <cfRule type="cellIs" priority="3" dxfId="0" operator="lessThan" stopIfTrue="1">
      <formula>BJ15+#REF!+BK16+BK17+BL18+#REF!+BL20</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4" dxfId="0" operator="equal" stopIfTrue="1">
      <formula>"&lt;&gt;"</formula>
    </cfRule>
  </conditionalFormatting>
  <conditionalFormatting sqref="BB28 BD28 BF28 BH28 BJ28 BN28 BP28 BR28 BT28 AZ28">
    <cfRule type="cellIs" priority="5" dxfId="1" operator="lessThan" stopIfTrue="1">
      <formula>AX15+AX14+#REF!+#REF!</formula>
    </cfRule>
    <cfRule type="cellIs" priority="6" dxfId="1" operator="lessThan" stopIfTrue="1">
      <formula>AZ31/1000</formula>
    </cfRule>
  </conditionalFormatting>
  <conditionalFormatting sqref="BD24 BF24 BH24 BJ24 BN24 BP24 BR24 BT24 AZ24 BB24">
    <cfRule type="cellIs" priority="7" dxfId="1" operator="lessThan" stopIfTrue="1">
      <formula>AX15+AX14+#REF!+#REF!</formula>
    </cfRule>
    <cfRule type="cellIs" priority="8" dxfId="1" operator="lessThan" stopIfTrue="1">
      <formula>AZ31/1000</formula>
    </cfRule>
  </conditionalFormatting>
  <conditionalFormatting sqref="BV8:BV15">
    <cfRule type="cellIs" priority="9" dxfId="0" operator="equal" stopIfTrue="1">
      <formula>"&gt; 25%"</formula>
    </cfRule>
  </conditionalFormatting>
  <conditionalFormatting sqref="AQ21:BU21">
    <cfRule type="cellIs" priority="10" dxfId="0" operator="equal" stopIfTrue="1">
      <formula>"&lt;&gt;"</formula>
    </cfRule>
    <cfRule type="cellIs" priority="11" dxfId="0" operator="equal" stopIfTrue="1">
      <formula>"1&lt;8"</formula>
    </cfRule>
  </conditionalFormatting>
  <conditionalFormatting sqref="F11 H11 J11 L11 N11 P11 R11 T11 V11 X11 Z11 AB11 AD11 AF11 AH11 AJ11">
    <cfRule type="cellIs" priority="12" dxfId="0" operator="lessThan" stopIfTrue="1">
      <formula>$F$12</formula>
    </cfRule>
  </conditionalFormatting>
  <printOptions horizontalCentered="1"/>
  <pageMargins left="0.56" right="0.4" top="0.65" bottom="0.84" header="0.43" footer="0.5"/>
  <pageSetup fitToHeight="2" horizontalDpi="600" verticalDpi="600" orientation="landscape" paperSize="9" scale="80" r:id="rId4"/>
  <headerFooter alignWithMargins="0">
    <oddFooter>&amp;C&amp;"Arial,Regular"&amp;8Questionnaire UNSD/PNUE 2010 sur les Statistiques de l’environnement - Section d'eau - p.&amp;P</oddFooter>
  </headerFooter>
  <rowBreaks count="1" manualBreakCount="1">
    <brk id="32" min="2" max="37"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CK69"/>
  <sheetViews>
    <sheetView showGridLines="0" zoomScale="80" zoomScaleNormal="80" zoomScaleSheetLayoutView="85" workbookViewId="0" topLeftCell="C1">
      <selection activeCell="B6" sqref="B6:D6"/>
    </sheetView>
  </sheetViews>
  <sheetFormatPr defaultColWidth="9.33203125" defaultRowHeight="12.75"/>
  <cols>
    <col min="1" max="1" width="3.33203125" style="424" hidden="1" customWidth="1"/>
    <col min="2" max="2" width="5.33203125" style="398" hidden="1" customWidth="1"/>
    <col min="3" max="3" width="11.16015625" style="0" customWidth="1"/>
    <col min="4" max="4" width="44.66015625" style="0" customWidth="1"/>
    <col min="5" max="5" width="10.16015625" style="0" customWidth="1"/>
    <col min="6" max="6" width="8" style="0" customWidth="1"/>
    <col min="7" max="7" width="1.83203125" style="0" customWidth="1"/>
    <col min="8" max="8" width="7" style="161" customWidth="1"/>
    <col min="9" max="9" width="1.83203125" style="177" customWidth="1"/>
    <col min="10" max="10" width="7" style="165" hidden="1" customWidth="1"/>
    <col min="11" max="11" width="1.83203125" style="177" hidden="1" customWidth="1"/>
    <col min="12" max="12" width="7" style="165" hidden="1" customWidth="1"/>
    <col min="13" max="13" width="1.83203125" style="177" hidden="1" customWidth="1"/>
    <col min="14" max="14" width="7" style="165" hidden="1" customWidth="1"/>
    <col min="15" max="15" width="1.83203125" style="177" hidden="1" customWidth="1"/>
    <col min="16" max="16" width="7" style="165" hidden="1" customWidth="1"/>
    <col min="17" max="17" width="1.83203125" style="177" hidden="1" customWidth="1"/>
    <col min="18" max="18" width="7" style="161" customWidth="1"/>
    <col min="19" max="19" width="1.83203125" style="177" customWidth="1"/>
    <col min="20" max="20" width="7" style="161" customWidth="1"/>
    <col min="21" max="21" width="1.83203125" style="177" customWidth="1"/>
    <col min="22" max="22" width="7" style="161" customWidth="1"/>
    <col min="23" max="23" width="1.83203125" style="177" customWidth="1"/>
    <col min="24" max="24" width="7" style="161" customWidth="1"/>
    <col min="25" max="25" width="1.83203125" style="177" customWidth="1"/>
    <col min="26" max="26" width="7" style="161" customWidth="1"/>
    <col min="27" max="27" width="1.83203125" style="177" customWidth="1"/>
    <col min="28" max="28" width="7" style="161" customWidth="1"/>
    <col min="29" max="29" width="1.83203125" style="177" customWidth="1"/>
    <col min="30" max="30" width="7" style="165" customWidth="1"/>
    <col min="31" max="31" width="1.83203125" style="177" customWidth="1"/>
    <col min="32" max="32" width="7" style="161" customWidth="1"/>
    <col min="33" max="33" width="1.83203125" style="177" customWidth="1"/>
    <col min="34" max="34" width="7" style="161" customWidth="1"/>
    <col min="35" max="35" width="1.83203125" style="177" customWidth="1"/>
    <col min="36" max="36" width="7" style="161" customWidth="1"/>
    <col min="37" max="37" width="1.83203125" style="177" customWidth="1"/>
    <col min="38" max="38" width="1.83203125" style="0" customWidth="1"/>
    <col min="39" max="39" width="4.83203125" style="307" customWidth="1"/>
    <col min="40" max="40" width="7.16015625" style="307" customWidth="1"/>
    <col min="41" max="41" width="40.5" style="307" customWidth="1"/>
    <col min="42" max="42" width="10.66015625" style="307" customWidth="1"/>
    <col min="43" max="43" width="9.33203125" style="307" customWidth="1"/>
    <col min="44" max="44" width="1.83203125" style="307" customWidth="1"/>
    <col min="45" max="45" width="9.33203125" style="307" customWidth="1"/>
    <col min="46" max="46" width="1.83203125" style="307" customWidth="1"/>
    <col min="47" max="47" width="9.33203125" style="307" customWidth="1"/>
    <col min="48" max="48" width="1.83203125" style="307" customWidth="1"/>
    <col min="49" max="49" width="9.33203125" style="307" customWidth="1"/>
    <col min="50" max="50" width="1.83203125" style="307" customWidth="1"/>
    <col min="51" max="51" width="9.33203125" style="307" customWidth="1"/>
    <col min="52" max="52" width="1.83203125" style="307" customWidth="1"/>
    <col min="53" max="53" width="9.33203125" style="307" customWidth="1"/>
    <col min="54" max="54" width="1.83203125" style="307" customWidth="1"/>
    <col min="55" max="55" width="9.33203125" style="307" customWidth="1"/>
    <col min="56" max="56" width="1.83203125" style="307" customWidth="1"/>
    <col min="57" max="57" width="9.33203125" style="307" customWidth="1"/>
    <col min="58" max="58" width="1.83203125" style="307" customWidth="1"/>
    <col min="59" max="59" width="9.33203125" style="307" customWidth="1"/>
    <col min="60" max="60" width="1.83203125" style="307" customWidth="1"/>
    <col min="61" max="61" width="9.33203125" style="307" customWidth="1"/>
    <col min="62" max="62" width="1.83203125" style="307" customWidth="1"/>
    <col min="63" max="63" width="9.33203125" style="307" customWidth="1"/>
    <col min="64" max="64" width="1.83203125" style="307" customWidth="1"/>
    <col min="65" max="65" width="9.33203125" style="307" customWidth="1"/>
    <col min="66" max="66" width="1.83203125" style="307" customWidth="1"/>
    <col min="67" max="67" width="9.33203125" style="307" customWidth="1"/>
    <col min="68" max="68" width="1.83203125" style="307" customWidth="1"/>
    <col min="69" max="69" width="9.33203125" style="307" customWidth="1"/>
    <col min="70" max="70" width="1.83203125" style="307" customWidth="1"/>
    <col min="71" max="71" width="9.33203125" style="307" customWidth="1"/>
    <col min="72" max="72" width="1.83203125" style="307" customWidth="1"/>
    <col min="73" max="73" width="9.33203125" style="307" customWidth="1"/>
    <col min="74" max="74" width="1.83203125" style="307" customWidth="1"/>
  </cols>
  <sheetData>
    <row r="1" spans="1:74" s="50" customFormat="1" ht="16.5" customHeight="1">
      <c r="A1" s="401"/>
      <c r="B1" s="398">
        <v>0</v>
      </c>
      <c r="C1" s="113" t="s">
        <v>263</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6"/>
      <c r="AL1" s="237"/>
      <c r="AM1" s="419"/>
      <c r="AN1" s="437" t="s">
        <v>52</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3" customHeight="1">
      <c r="C2" s="80"/>
      <c r="D2" s="80"/>
      <c r="E2" s="1"/>
      <c r="F2" s="1"/>
      <c r="G2" s="172"/>
      <c r="H2" s="195"/>
      <c r="I2" s="173"/>
      <c r="J2" s="195"/>
      <c r="K2" s="173"/>
      <c r="L2" s="195"/>
      <c r="M2" s="173"/>
      <c r="N2" s="195"/>
      <c r="O2" s="173"/>
      <c r="P2" s="195"/>
      <c r="Q2" s="163"/>
      <c r="R2" s="177"/>
      <c r="S2" s="161"/>
      <c r="T2" s="177"/>
      <c r="U2" s="161"/>
      <c r="V2" s="177"/>
      <c r="W2" s="161"/>
      <c r="X2" s="177"/>
      <c r="Y2" s="161"/>
      <c r="Z2" s="177"/>
      <c r="AA2" s="161"/>
      <c r="AB2" s="177"/>
      <c r="AC2" s="165"/>
      <c r="AD2" s="177"/>
      <c r="AE2" s="161"/>
      <c r="AF2" s="177"/>
      <c r="AG2" s="161"/>
      <c r="AH2" s="177"/>
      <c r="AI2" s="161"/>
      <c r="AJ2" s="177"/>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7" s="276" customFormat="1" ht="18.75" customHeight="1">
      <c r="A3" s="400"/>
      <c r="B3" s="400"/>
      <c r="C3" s="127" t="s">
        <v>57</v>
      </c>
      <c r="D3" s="603"/>
      <c r="E3" s="587"/>
      <c r="F3" s="588"/>
      <c r="G3" s="163"/>
      <c r="H3" s="183"/>
      <c r="I3" s="167"/>
      <c r="J3" s="183"/>
      <c r="K3" s="167"/>
      <c r="L3" s="183"/>
      <c r="M3" s="167"/>
      <c r="N3" s="183"/>
      <c r="O3" s="167"/>
      <c r="P3" s="183"/>
      <c r="Q3" s="163"/>
      <c r="R3" s="183"/>
      <c r="S3" s="163"/>
      <c r="T3" s="183"/>
      <c r="U3" s="163"/>
      <c r="V3" s="274"/>
      <c r="W3" s="127" t="s">
        <v>32</v>
      </c>
      <c r="X3" s="188"/>
      <c r="Y3" s="169"/>
      <c r="Z3" s="188"/>
      <c r="AA3" s="171"/>
      <c r="AB3" s="188"/>
      <c r="AC3" s="169"/>
      <c r="AD3" s="188"/>
      <c r="AE3" s="169"/>
      <c r="AF3" s="188"/>
      <c r="AG3" s="169"/>
      <c r="AH3" s="188"/>
      <c r="AI3" s="13"/>
      <c r="AJ3" s="589"/>
      <c r="AK3" s="589"/>
      <c r="AL3" s="547"/>
      <c r="AM3" s="251"/>
      <c r="AN3" s="689" t="s">
        <v>53</v>
      </c>
      <c r="AO3" s="689"/>
      <c r="AP3" s="689"/>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277"/>
      <c r="BX3" s="277"/>
      <c r="BY3" s="277"/>
    </row>
    <row r="4" spans="5:74" ht="5.25" customHeight="1">
      <c r="E4" s="3"/>
      <c r="F4" s="3"/>
      <c r="G4" s="3"/>
      <c r="AF4" s="172"/>
      <c r="AG4" s="195"/>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1:74" s="50" customFormat="1" ht="17.25" customHeight="1">
      <c r="A5" s="401"/>
      <c r="B5" s="398">
        <v>17</v>
      </c>
      <c r="C5" s="682" t="s">
        <v>101</v>
      </c>
      <c r="D5" s="682"/>
      <c r="E5" s="683"/>
      <c r="F5" s="683"/>
      <c r="G5" s="683"/>
      <c r="H5" s="683"/>
      <c r="I5" s="684"/>
      <c r="J5" s="684"/>
      <c r="K5" s="684"/>
      <c r="L5" s="684"/>
      <c r="M5" s="684"/>
      <c r="N5" s="684"/>
      <c r="O5" s="684"/>
      <c r="P5" s="684"/>
      <c r="Q5" s="684"/>
      <c r="R5" s="683"/>
      <c r="S5" s="684"/>
      <c r="T5" s="683"/>
      <c r="U5" s="684"/>
      <c r="V5" s="683"/>
      <c r="W5" s="684"/>
      <c r="X5" s="683"/>
      <c r="Y5" s="684"/>
      <c r="Z5" s="683"/>
      <c r="AA5" s="684"/>
      <c r="AB5" s="683"/>
      <c r="AC5" s="684"/>
      <c r="AD5" s="684"/>
      <c r="AE5" s="684"/>
      <c r="AF5" s="683"/>
      <c r="AG5" s="684"/>
      <c r="AH5" s="683"/>
      <c r="AI5" s="194"/>
      <c r="AJ5" s="234"/>
      <c r="AK5" s="194"/>
      <c r="AL5" s="120"/>
      <c r="AM5" s="419"/>
      <c r="AN5" s="480" t="s">
        <v>54</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s="215" customFormat="1" ht="15" customHeight="1">
      <c r="A6" s="399"/>
      <c r="B6" s="398"/>
      <c r="C6" s="80"/>
      <c r="D6" s="80"/>
      <c r="E6" s="2"/>
      <c r="F6" s="2"/>
      <c r="G6" s="161"/>
      <c r="H6" s="177"/>
      <c r="I6" s="165"/>
      <c r="J6" s="177"/>
      <c r="K6" s="165"/>
      <c r="L6" s="177"/>
      <c r="M6" s="165"/>
      <c r="N6" s="177"/>
      <c r="O6" s="165"/>
      <c r="P6" s="177"/>
      <c r="Q6" s="161"/>
      <c r="R6" s="590" t="s">
        <v>34</v>
      </c>
      <c r="S6" s="161"/>
      <c r="T6" s="262"/>
      <c r="U6" s="263"/>
      <c r="V6" s="262"/>
      <c r="W6" s="264"/>
      <c r="X6" s="262"/>
      <c r="Y6" s="264"/>
      <c r="Z6" s="262"/>
      <c r="AA6" s="265"/>
      <c r="AB6" s="177"/>
      <c r="AC6" s="161"/>
      <c r="AD6" s="349"/>
      <c r="AE6" s="349"/>
      <c r="AF6" s="349"/>
      <c r="AG6" s="349"/>
      <c r="AH6" s="349"/>
      <c r="AI6" s="349"/>
      <c r="AJ6" s="349"/>
      <c r="AK6" s="350" t="s">
        <v>35</v>
      </c>
      <c r="AL6" s="8"/>
      <c r="AM6" s="374"/>
      <c r="AN6" s="690" t="s">
        <v>80</v>
      </c>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0"/>
      <c r="BU6" s="690"/>
      <c r="BV6" s="690"/>
    </row>
    <row r="7" spans="1:74" s="16" customFormat="1" ht="18" customHeight="1">
      <c r="A7" s="403"/>
      <c r="B7" s="402">
        <v>2</v>
      </c>
      <c r="C7" s="64" t="s">
        <v>36</v>
      </c>
      <c r="D7" s="64" t="s">
        <v>37</v>
      </c>
      <c r="E7" s="63" t="s">
        <v>38</v>
      </c>
      <c r="F7" s="135">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M7" s="375"/>
      <c r="AN7" s="63" t="s">
        <v>157</v>
      </c>
      <c r="AO7" s="63" t="s">
        <v>164</v>
      </c>
      <c r="AP7" s="63" t="s">
        <v>166</v>
      </c>
      <c r="AQ7" s="135">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1:74" s="24" customFormat="1" ht="26.25" customHeight="1">
      <c r="A8" s="424"/>
      <c r="B8" s="425">
        <v>275</v>
      </c>
      <c r="C8" s="26">
        <v>1</v>
      </c>
      <c r="D8" s="95" t="s">
        <v>710</v>
      </c>
      <c r="E8" s="593" t="s">
        <v>40</v>
      </c>
      <c r="F8" s="527"/>
      <c r="G8" s="528"/>
      <c r="H8" s="529"/>
      <c r="I8" s="528"/>
      <c r="J8" s="529"/>
      <c r="K8" s="528"/>
      <c r="L8" s="529"/>
      <c r="M8" s="528"/>
      <c r="N8" s="529"/>
      <c r="O8" s="528"/>
      <c r="P8" s="527"/>
      <c r="Q8" s="528"/>
      <c r="R8" s="527"/>
      <c r="S8" s="528"/>
      <c r="T8" s="527"/>
      <c r="U8" s="528"/>
      <c r="V8" s="527"/>
      <c r="W8" s="528"/>
      <c r="X8" s="527"/>
      <c r="Y8" s="528"/>
      <c r="Z8" s="527"/>
      <c r="AA8" s="528"/>
      <c r="AB8" s="529"/>
      <c r="AC8" s="528"/>
      <c r="AD8" s="527"/>
      <c r="AE8" s="528"/>
      <c r="AF8" s="527"/>
      <c r="AG8" s="528"/>
      <c r="AH8" s="527"/>
      <c r="AI8" s="528"/>
      <c r="AJ8" s="527"/>
      <c r="AK8" s="180"/>
      <c r="AM8" s="307"/>
      <c r="AN8" s="59">
        <v>1</v>
      </c>
      <c r="AO8" s="315" t="s">
        <v>536</v>
      </c>
      <c r="AP8" s="433" t="s">
        <v>158</v>
      </c>
      <c r="AQ8" s="434" t="s">
        <v>644</v>
      </c>
      <c r="AR8" s="192"/>
      <c r="AS8" s="325" t="str">
        <f aca="true" t="shared" si="0" ref="AS8:AS18">IF(OR(ISBLANK(F8),ISBLANK(H8)),"N/A",IF(ABS((H8-F8)/F8)&gt;1,"&gt; 100%","ok"))</f>
        <v>N/A</v>
      </c>
      <c r="AT8" s="192"/>
      <c r="AU8" s="331" t="str">
        <f>IF(OR(ISBLANK(H8),ISBLANK(J8)),"N/A",IF(ABS((J8-H8)/H8)&gt;0.25,"&gt; 25%","ok"))</f>
        <v>N/A</v>
      </c>
      <c r="AV8" s="331"/>
      <c r="AW8" s="331" t="str">
        <f aca="true" t="shared" si="1" ref="AW8:AW18">IF(OR(ISBLANK(J8),ISBLANK(L8)),"N/A",IF(ABS((L8-J8)/J8)&gt;0.25,"&gt; 25%","ok"))</f>
        <v>N/A</v>
      </c>
      <c r="AX8" s="331"/>
      <c r="AY8" s="331" t="str">
        <f aca="true" t="shared" si="2" ref="AY8:AY18">IF(OR(ISBLANK(L8),ISBLANK(N8)),"N/A",IF(ABS((N8-L8)/L8)&gt;0.25,"&gt; 25%","ok"))</f>
        <v>N/A</v>
      </c>
      <c r="AZ8" s="331"/>
      <c r="BA8" s="331" t="str">
        <f aca="true" t="shared" si="3" ref="BA8:BA18">IF(OR(ISBLANK(N8),ISBLANK(P8)),"N/A",IF(ABS((P8-N8)/N8)&gt;0.25,"&gt; 25%","ok"))</f>
        <v>N/A</v>
      </c>
      <c r="BB8" s="331"/>
      <c r="BC8" s="331" t="str">
        <f aca="true" t="shared" si="4" ref="BC8:BC18">IF(OR(ISBLANK(P8),ISBLANK(R8)),"N/A",IF(ABS((R8-P8)/P8)&gt;0.25,"&gt; 25%","ok"))</f>
        <v>N/A</v>
      </c>
      <c r="BD8" s="331"/>
      <c r="BE8" s="331" t="str">
        <f aca="true" t="shared" si="5" ref="BE8:BE18">IF(OR(ISBLANK(R8),ISBLANK(T8)),"N/A",IF(ABS((T8-R8)/R8)&gt;0.25,"&gt; 25%","ok"))</f>
        <v>N/A</v>
      </c>
      <c r="BF8" s="331"/>
      <c r="BG8" s="331" t="str">
        <f aca="true" t="shared" si="6" ref="BG8:BG18">IF(OR(ISBLANK(T8),ISBLANK(V8)),"N/A",IF(ABS((V8-T8)/T8)&gt;0.25,"&gt; 25%","ok"))</f>
        <v>N/A</v>
      </c>
      <c r="BH8" s="331"/>
      <c r="BI8" s="331" t="str">
        <f aca="true" t="shared" si="7" ref="BI8:BI18">IF(OR(ISBLANK(V8),ISBLANK(X8)),"N/A",IF(ABS((X8-V8)/V8)&gt;0.25,"&gt; 25%","ok"))</f>
        <v>N/A</v>
      </c>
      <c r="BJ8" s="331"/>
      <c r="BK8" s="331" t="str">
        <f aca="true" t="shared" si="8" ref="BK8:BK18">IF(OR(ISBLANK(X8),ISBLANK(Z8)),"N/A",IF(ABS((Z8-X8)/X8)&gt;0.25,"&gt; 25%","ok"))</f>
        <v>N/A</v>
      </c>
      <c r="BL8" s="331"/>
      <c r="BM8" s="331" t="str">
        <f aca="true" t="shared" si="9" ref="BM8:BM18">IF(OR(ISBLANK(Z8),ISBLANK(AB8)),"N/A",IF(ABS((AB8-Z8)/Z8)&gt;0.25,"&gt; 25%","ok"))</f>
        <v>N/A</v>
      </c>
      <c r="BN8" s="331"/>
      <c r="BO8" s="331" t="str">
        <f aca="true" t="shared" si="10" ref="BO8:BO18">IF(OR(ISBLANK(AB8),ISBLANK(AD8)),"N/A",IF(ABS((AD8-AB8)/AB8)&gt;0.25,"&gt; 25%","ok"))</f>
        <v>N/A</v>
      </c>
      <c r="BP8" s="331"/>
      <c r="BQ8" s="331" t="str">
        <f aca="true" t="shared" si="11" ref="BQ8:BQ18">IF(OR(ISBLANK(AD8),ISBLANK(AF8)),"N/A",IF(ABS((AF8-AD8)/AD8)&gt;0.25,"&gt; 25%","ok"))</f>
        <v>N/A</v>
      </c>
      <c r="BR8" s="331"/>
      <c r="BS8" s="331" t="str">
        <f aca="true" t="shared" si="12" ref="BS8:BS18">IF(OR(ISBLANK(AF8),ISBLANK(AH8)),"N/A",IF(ABS((AH8-AF8)/AF8)&gt;0.25,"&gt; 25%","ok"))</f>
        <v>N/A</v>
      </c>
      <c r="BT8" s="331"/>
      <c r="BU8" s="331" t="str">
        <f aca="true" t="shared" si="13" ref="BU8:BU18">IF(OR(ISBLANK(AH8),ISBLANK(AJ8)),"N/A",IF(ABS((AJ8-AH8)/AH8)&gt;0.25,"&gt; 25%","ok"))</f>
        <v>N/A</v>
      </c>
      <c r="BV8" s="331"/>
    </row>
    <row r="9" spans="1:74" s="24" customFormat="1" ht="21" customHeight="1">
      <c r="A9" s="424"/>
      <c r="B9" s="425">
        <v>2416</v>
      </c>
      <c r="C9" s="26">
        <v>2</v>
      </c>
      <c r="D9" s="95" t="s">
        <v>102</v>
      </c>
      <c r="E9" s="25" t="s">
        <v>40</v>
      </c>
      <c r="F9" s="527"/>
      <c r="G9" s="528"/>
      <c r="H9" s="527"/>
      <c r="I9" s="528"/>
      <c r="J9" s="527"/>
      <c r="K9" s="528"/>
      <c r="L9" s="527"/>
      <c r="M9" s="528"/>
      <c r="N9" s="527"/>
      <c r="O9" s="528"/>
      <c r="P9" s="527"/>
      <c r="Q9" s="528"/>
      <c r="R9" s="527"/>
      <c r="S9" s="528"/>
      <c r="T9" s="527"/>
      <c r="U9" s="528"/>
      <c r="V9" s="527"/>
      <c r="W9" s="528"/>
      <c r="X9" s="527"/>
      <c r="Y9" s="528"/>
      <c r="Z9" s="527"/>
      <c r="AA9" s="528"/>
      <c r="AB9" s="527"/>
      <c r="AC9" s="528"/>
      <c r="AD9" s="527"/>
      <c r="AE9" s="528"/>
      <c r="AF9" s="527"/>
      <c r="AG9" s="528"/>
      <c r="AH9" s="527"/>
      <c r="AI9" s="528"/>
      <c r="AJ9" s="527"/>
      <c r="AK9" s="528"/>
      <c r="AM9" s="307"/>
      <c r="AN9" s="60">
        <v>2</v>
      </c>
      <c r="AO9" s="314" t="s">
        <v>537</v>
      </c>
      <c r="AP9" s="60" t="s">
        <v>169</v>
      </c>
      <c r="AQ9" s="142" t="s">
        <v>644</v>
      </c>
      <c r="AR9" s="192"/>
      <c r="AS9" s="325" t="str">
        <f t="shared" si="0"/>
        <v>N/A</v>
      </c>
      <c r="AT9" s="192"/>
      <c r="AU9" s="331" t="str">
        <f aca="true" t="shared" si="14" ref="AU9:AU18">IF(OR(ISBLANK(H9),ISBLANK(J9)),"N/A",IF(ABS((J9-H9)/H9)&gt;0.25,"&gt; 25%","ok"))</f>
        <v>N/A</v>
      </c>
      <c r="AV9" s="331"/>
      <c r="AW9" s="331" t="str">
        <f t="shared" si="1"/>
        <v>N/A</v>
      </c>
      <c r="AX9" s="331"/>
      <c r="AY9" s="331" t="str">
        <f t="shared" si="2"/>
        <v>N/A</v>
      </c>
      <c r="AZ9" s="331"/>
      <c r="BA9" s="331" t="str">
        <f t="shared" si="3"/>
        <v>N/A</v>
      </c>
      <c r="BB9" s="331"/>
      <c r="BC9" s="331" t="str">
        <f t="shared" si="4"/>
        <v>N/A</v>
      </c>
      <c r="BD9" s="331"/>
      <c r="BE9" s="331" t="str">
        <f t="shared" si="5"/>
        <v>N/A</v>
      </c>
      <c r="BF9" s="331"/>
      <c r="BG9" s="331" t="str">
        <f t="shared" si="6"/>
        <v>N/A</v>
      </c>
      <c r="BH9" s="331"/>
      <c r="BI9" s="331" t="str">
        <f t="shared" si="7"/>
        <v>N/A</v>
      </c>
      <c r="BJ9" s="331"/>
      <c r="BK9" s="331" t="str">
        <f t="shared" si="8"/>
        <v>N/A</v>
      </c>
      <c r="BL9" s="331"/>
      <c r="BM9" s="331" t="str">
        <f t="shared" si="9"/>
        <v>N/A</v>
      </c>
      <c r="BN9" s="331"/>
      <c r="BO9" s="331" t="str">
        <f t="shared" si="10"/>
        <v>N/A</v>
      </c>
      <c r="BP9" s="331"/>
      <c r="BQ9" s="331" t="str">
        <f t="shared" si="11"/>
        <v>N/A</v>
      </c>
      <c r="BR9" s="331"/>
      <c r="BS9" s="331" t="str">
        <f t="shared" si="12"/>
        <v>N/A</v>
      </c>
      <c r="BT9" s="331"/>
      <c r="BU9" s="331" t="str">
        <f t="shared" si="13"/>
        <v>N/A</v>
      </c>
      <c r="BV9" s="331"/>
    </row>
    <row r="10" spans="1:74" s="24" customFormat="1" ht="15.75" customHeight="1">
      <c r="A10" s="424"/>
      <c r="B10" s="425">
        <v>276</v>
      </c>
      <c r="C10" s="26">
        <v>3</v>
      </c>
      <c r="D10" s="102" t="s">
        <v>103</v>
      </c>
      <c r="E10" s="25" t="s">
        <v>40</v>
      </c>
      <c r="F10" s="527"/>
      <c r="G10" s="528"/>
      <c r="H10" s="527"/>
      <c r="I10" s="528"/>
      <c r="J10" s="527"/>
      <c r="K10" s="528"/>
      <c r="L10" s="527"/>
      <c r="M10" s="528"/>
      <c r="N10" s="527"/>
      <c r="O10" s="528"/>
      <c r="P10" s="527"/>
      <c r="Q10" s="528"/>
      <c r="R10" s="527"/>
      <c r="S10" s="528"/>
      <c r="T10" s="527"/>
      <c r="U10" s="528"/>
      <c r="V10" s="527"/>
      <c r="W10" s="528"/>
      <c r="X10" s="527"/>
      <c r="Y10" s="528"/>
      <c r="Z10" s="527"/>
      <c r="AA10" s="528"/>
      <c r="AB10" s="527"/>
      <c r="AC10" s="528"/>
      <c r="AD10" s="527"/>
      <c r="AE10" s="528"/>
      <c r="AF10" s="527"/>
      <c r="AG10" s="528"/>
      <c r="AH10" s="527"/>
      <c r="AI10" s="528"/>
      <c r="AJ10" s="527"/>
      <c r="AK10" s="180"/>
      <c r="AM10" s="307"/>
      <c r="AN10" s="60">
        <v>3</v>
      </c>
      <c r="AO10" s="409" t="s">
        <v>523</v>
      </c>
      <c r="AP10" s="60" t="s">
        <v>169</v>
      </c>
      <c r="AQ10" s="142" t="s">
        <v>644</v>
      </c>
      <c r="AR10" s="192"/>
      <c r="AS10" s="325" t="str">
        <f t="shared" si="0"/>
        <v>N/A</v>
      </c>
      <c r="AT10" s="192"/>
      <c r="AU10" s="331" t="str">
        <f t="shared" si="14"/>
        <v>N/A</v>
      </c>
      <c r="AV10" s="331"/>
      <c r="AW10" s="331" t="str">
        <f t="shared" si="1"/>
        <v>N/A</v>
      </c>
      <c r="AX10" s="331"/>
      <c r="AY10" s="331" t="str">
        <f t="shared" si="2"/>
        <v>N/A</v>
      </c>
      <c r="AZ10" s="331"/>
      <c r="BA10" s="331" t="str">
        <f t="shared" si="3"/>
        <v>N/A</v>
      </c>
      <c r="BB10" s="331"/>
      <c r="BC10" s="331" t="str">
        <f t="shared" si="4"/>
        <v>N/A</v>
      </c>
      <c r="BD10" s="331"/>
      <c r="BE10" s="331" t="str">
        <f t="shared" si="5"/>
        <v>N/A</v>
      </c>
      <c r="BF10" s="331"/>
      <c r="BG10" s="331" t="str">
        <f t="shared" si="6"/>
        <v>N/A</v>
      </c>
      <c r="BH10" s="331"/>
      <c r="BI10" s="331" t="str">
        <f t="shared" si="7"/>
        <v>N/A</v>
      </c>
      <c r="BJ10" s="331"/>
      <c r="BK10" s="331" t="str">
        <f t="shared" si="8"/>
        <v>N/A</v>
      </c>
      <c r="BL10" s="331"/>
      <c r="BM10" s="331" t="str">
        <f t="shared" si="9"/>
        <v>N/A</v>
      </c>
      <c r="BN10" s="331"/>
      <c r="BO10" s="331" t="str">
        <f t="shared" si="10"/>
        <v>N/A</v>
      </c>
      <c r="BP10" s="331"/>
      <c r="BQ10" s="331" t="str">
        <f t="shared" si="11"/>
        <v>N/A</v>
      </c>
      <c r="BR10" s="331"/>
      <c r="BS10" s="331" t="str">
        <f t="shared" si="12"/>
        <v>N/A</v>
      </c>
      <c r="BT10" s="331"/>
      <c r="BU10" s="331" t="str">
        <f t="shared" si="13"/>
        <v>N/A</v>
      </c>
      <c r="BV10" s="331"/>
    </row>
    <row r="11" spans="1:74" s="24" customFormat="1" ht="15.75" customHeight="1">
      <c r="A11" s="424"/>
      <c r="B11" s="425">
        <v>5007</v>
      </c>
      <c r="C11" s="26">
        <v>4</v>
      </c>
      <c r="D11" s="596" t="s">
        <v>104</v>
      </c>
      <c r="E11" s="25" t="s">
        <v>40</v>
      </c>
      <c r="F11" s="527"/>
      <c r="G11" s="528"/>
      <c r="H11" s="527"/>
      <c r="I11" s="528"/>
      <c r="J11" s="527"/>
      <c r="K11" s="528"/>
      <c r="L11" s="527"/>
      <c r="M11" s="528"/>
      <c r="N11" s="527"/>
      <c r="O11" s="528"/>
      <c r="P11" s="527"/>
      <c r="Q11" s="528"/>
      <c r="R11" s="527"/>
      <c r="S11" s="528"/>
      <c r="T11" s="527"/>
      <c r="U11" s="528"/>
      <c r="V11" s="527"/>
      <c r="W11" s="528"/>
      <c r="X11" s="527"/>
      <c r="Y11" s="528"/>
      <c r="Z11" s="527"/>
      <c r="AA11" s="528"/>
      <c r="AB11" s="527"/>
      <c r="AC11" s="528"/>
      <c r="AD11" s="527"/>
      <c r="AE11" s="528"/>
      <c r="AF11" s="527"/>
      <c r="AG11" s="528"/>
      <c r="AH11" s="527"/>
      <c r="AI11" s="528"/>
      <c r="AJ11" s="527"/>
      <c r="AK11" s="180"/>
      <c r="AM11" s="307"/>
      <c r="AN11" s="60">
        <v>4</v>
      </c>
      <c r="AO11" s="314" t="s">
        <v>668</v>
      </c>
      <c r="AP11" s="60" t="s">
        <v>169</v>
      </c>
      <c r="AQ11" s="142" t="s">
        <v>644</v>
      </c>
      <c r="AR11" s="192"/>
      <c r="AS11" s="325" t="str">
        <f t="shared" si="0"/>
        <v>N/A</v>
      </c>
      <c r="AT11" s="192"/>
      <c r="AU11" s="331" t="str">
        <f t="shared" si="14"/>
        <v>N/A</v>
      </c>
      <c r="AV11" s="331"/>
      <c r="AW11" s="331" t="str">
        <f t="shared" si="1"/>
        <v>N/A</v>
      </c>
      <c r="AX11" s="331"/>
      <c r="AY11" s="331" t="str">
        <f t="shared" si="2"/>
        <v>N/A</v>
      </c>
      <c r="AZ11" s="331"/>
      <c r="BA11" s="331" t="str">
        <f t="shared" si="3"/>
        <v>N/A</v>
      </c>
      <c r="BB11" s="331"/>
      <c r="BC11" s="331" t="str">
        <f t="shared" si="4"/>
        <v>N/A</v>
      </c>
      <c r="BD11" s="331"/>
      <c r="BE11" s="331" t="str">
        <f t="shared" si="5"/>
        <v>N/A</v>
      </c>
      <c r="BF11" s="331"/>
      <c r="BG11" s="331" t="str">
        <f t="shared" si="6"/>
        <v>N/A</v>
      </c>
      <c r="BH11" s="331"/>
      <c r="BI11" s="331" t="str">
        <f t="shared" si="7"/>
        <v>N/A</v>
      </c>
      <c r="BJ11" s="331"/>
      <c r="BK11" s="331" t="str">
        <f t="shared" si="8"/>
        <v>N/A</v>
      </c>
      <c r="BL11" s="331"/>
      <c r="BM11" s="331" t="str">
        <f t="shared" si="9"/>
        <v>N/A</v>
      </c>
      <c r="BN11" s="331"/>
      <c r="BO11" s="331" t="str">
        <f t="shared" si="10"/>
        <v>N/A</v>
      </c>
      <c r="BP11" s="331"/>
      <c r="BQ11" s="331" t="str">
        <f t="shared" si="11"/>
        <v>N/A</v>
      </c>
      <c r="BR11" s="331"/>
      <c r="BS11" s="331" t="str">
        <f t="shared" si="12"/>
        <v>N/A</v>
      </c>
      <c r="BT11" s="331"/>
      <c r="BU11" s="331" t="str">
        <f t="shared" si="13"/>
        <v>N/A</v>
      </c>
      <c r="BV11" s="331"/>
    </row>
    <row r="12" spans="1:74" s="84" customFormat="1" ht="45.75" customHeight="1">
      <c r="A12" s="459" t="s">
        <v>627</v>
      </c>
      <c r="B12" s="425">
        <v>29</v>
      </c>
      <c r="C12" s="26">
        <v>5</v>
      </c>
      <c r="D12" s="83" t="s">
        <v>105</v>
      </c>
      <c r="E12" s="25" t="s">
        <v>40</v>
      </c>
      <c r="F12" s="527"/>
      <c r="G12" s="528"/>
      <c r="H12" s="527"/>
      <c r="I12" s="528"/>
      <c r="J12" s="527"/>
      <c r="K12" s="528"/>
      <c r="L12" s="527"/>
      <c r="M12" s="528"/>
      <c r="N12" s="527"/>
      <c r="O12" s="528"/>
      <c r="P12" s="527"/>
      <c r="Q12" s="528"/>
      <c r="R12" s="527"/>
      <c r="S12" s="528"/>
      <c r="T12" s="527"/>
      <c r="U12" s="528"/>
      <c r="V12" s="527"/>
      <c r="W12" s="528"/>
      <c r="X12" s="527"/>
      <c r="Y12" s="528"/>
      <c r="Z12" s="527"/>
      <c r="AA12" s="528"/>
      <c r="AB12" s="527"/>
      <c r="AC12" s="528"/>
      <c r="AD12" s="527"/>
      <c r="AE12" s="528"/>
      <c r="AF12" s="527"/>
      <c r="AG12" s="528"/>
      <c r="AH12" s="527"/>
      <c r="AI12" s="528"/>
      <c r="AJ12" s="527"/>
      <c r="AK12" s="180"/>
      <c r="AM12" s="429"/>
      <c r="AN12" s="59">
        <v>5</v>
      </c>
      <c r="AO12" s="315" t="s">
        <v>538</v>
      </c>
      <c r="AP12" s="59" t="s">
        <v>158</v>
      </c>
      <c r="AQ12" s="142" t="s">
        <v>644</v>
      </c>
      <c r="AR12" s="192"/>
      <c r="AS12" s="331" t="str">
        <f t="shared" si="0"/>
        <v>N/A</v>
      </c>
      <c r="AT12" s="192"/>
      <c r="AU12" s="331" t="str">
        <f t="shared" si="14"/>
        <v>N/A</v>
      </c>
      <c r="AV12" s="331"/>
      <c r="AW12" s="331" t="str">
        <f t="shared" si="1"/>
        <v>N/A</v>
      </c>
      <c r="AX12" s="331"/>
      <c r="AY12" s="331" t="str">
        <f t="shared" si="2"/>
        <v>N/A</v>
      </c>
      <c r="AZ12" s="331"/>
      <c r="BA12" s="331" t="str">
        <f t="shared" si="3"/>
        <v>N/A</v>
      </c>
      <c r="BB12" s="331"/>
      <c r="BC12" s="331" t="str">
        <f t="shared" si="4"/>
        <v>N/A</v>
      </c>
      <c r="BD12" s="331"/>
      <c r="BE12" s="331" t="str">
        <f t="shared" si="5"/>
        <v>N/A</v>
      </c>
      <c r="BF12" s="331"/>
      <c r="BG12" s="331" t="str">
        <f t="shared" si="6"/>
        <v>N/A</v>
      </c>
      <c r="BH12" s="331"/>
      <c r="BI12" s="331" t="str">
        <f t="shared" si="7"/>
        <v>N/A</v>
      </c>
      <c r="BJ12" s="331"/>
      <c r="BK12" s="331" t="str">
        <f t="shared" si="8"/>
        <v>N/A</v>
      </c>
      <c r="BL12" s="331"/>
      <c r="BM12" s="331" t="str">
        <f t="shared" si="9"/>
        <v>N/A</v>
      </c>
      <c r="BN12" s="331"/>
      <c r="BO12" s="331" t="str">
        <f t="shared" si="10"/>
        <v>N/A</v>
      </c>
      <c r="BP12" s="331"/>
      <c r="BQ12" s="331" t="str">
        <f t="shared" si="11"/>
        <v>N/A</v>
      </c>
      <c r="BR12" s="331"/>
      <c r="BS12" s="331" t="str">
        <f t="shared" si="12"/>
        <v>N/A</v>
      </c>
      <c r="BT12" s="331"/>
      <c r="BU12" s="331" t="str">
        <f t="shared" si="13"/>
        <v>N/A</v>
      </c>
      <c r="BV12" s="331"/>
    </row>
    <row r="13" spans="1:74" s="84" customFormat="1" ht="22.5" customHeight="1">
      <c r="A13" s="460"/>
      <c r="B13" s="425">
        <v>5008</v>
      </c>
      <c r="C13" s="70"/>
      <c r="D13" s="595" t="s">
        <v>106</v>
      </c>
      <c r="E13" s="597"/>
      <c r="F13" s="525"/>
      <c r="G13" s="526"/>
      <c r="H13" s="535"/>
      <c r="I13" s="526"/>
      <c r="J13" s="535"/>
      <c r="K13" s="526"/>
      <c r="L13" s="535"/>
      <c r="M13" s="526"/>
      <c r="N13" s="535"/>
      <c r="O13" s="526"/>
      <c r="P13" s="525"/>
      <c r="Q13" s="526"/>
      <c r="R13" s="525"/>
      <c r="S13" s="526"/>
      <c r="T13" s="525"/>
      <c r="U13" s="526"/>
      <c r="V13" s="525"/>
      <c r="W13" s="526"/>
      <c r="X13" s="525"/>
      <c r="Y13" s="526"/>
      <c r="Z13" s="525"/>
      <c r="AA13" s="526"/>
      <c r="AB13" s="535"/>
      <c r="AC13" s="526"/>
      <c r="AD13" s="525"/>
      <c r="AE13" s="526"/>
      <c r="AF13" s="525"/>
      <c r="AG13" s="526"/>
      <c r="AH13" s="525"/>
      <c r="AI13" s="526"/>
      <c r="AJ13" s="525"/>
      <c r="AK13" s="185"/>
      <c r="AM13" s="429"/>
      <c r="AN13" s="379"/>
      <c r="AO13" s="76" t="s">
        <v>539</v>
      </c>
      <c r="AP13" s="59"/>
      <c r="AQ13" s="312"/>
      <c r="AR13" s="313"/>
      <c r="AS13" s="325"/>
      <c r="AT13" s="313"/>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row>
    <row r="14" spans="1:74" s="12" customFormat="1" ht="14.25" customHeight="1">
      <c r="A14" s="403"/>
      <c r="B14" s="425">
        <v>38</v>
      </c>
      <c r="C14" s="62">
        <v>6</v>
      </c>
      <c r="D14" s="54" t="s">
        <v>76</v>
      </c>
      <c r="E14" s="25" t="s">
        <v>40</v>
      </c>
      <c r="F14" s="535"/>
      <c r="G14" s="526"/>
      <c r="H14" s="535"/>
      <c r="I14" s="526"/>
      <c r="J14" s="535"/>
      <c r="K14" s="526"/>
      <c r="L14" s="535"/>
      <c r="M14" s="526"/>
      <c r="N14" s="535"/>
      <c r="O14" s="526"/>
      <c r="P14" s="525"/>
      <c r="Q14" s="526"/>
      <c r="R14" s="525"/>
      <c r="S14" s="526"/>
      <c r="T14" s="525"/>
      <c r="U14" s="526"/>
      <c r="V14" s="525"/>
      <c r="W14" s="526"/>
      <c r="X14" s="525"/>
      <c r="Y14" s="526"/>
      <c r="Z14" s="525"/>
      <c r="AA14" s="526"/>
      <c r="AB14" s="535"/>
      <c r="AC14" s="526"/>
      <c r="AD14" s="525"/>
      <c r="AE14" s="526"/>
      <c r="AF14" s="525"/>
      <c r="AG14" s="526"/>
      <c r="AH14" s="525"/>
      <c r="AI14" s="526"/>
      <c r="AJ14" s="525"/>
      <c r="AK14" s="178"/>
      <c r="AM14" s="430"/>
      <c r="AN14" s="310">
        <v>6</v>
      </c>
      <c r="AO14" s="410" t="s">
        <v>175</v>
      </c>
      <c r="AP14" s="60" t="s">
        <v>169</v>
      </c>
      <c r="AQ14" s="370" t="s">
        <v>644</v>
      </c>
      <c r="AR14" s="313"/>
      <c r="AS14" s="325" t="str">
        <f t="shared" si="0"/>
        <v>N/A</v>
      </c>
      <c r="AT14" s="313"/>
      <c r="AU14" s="331" t="str">
        <f t="shared" si="14"/>
        <v>N/A</v>
      </c>
      <c r="AV14" s="331"/>
      <c r="AW14" s="331" t="str">
        <f t="shared" si="1"/>
        <v>N/A</v>
      </c>
      <c r="AX14" s="331"/>
      <c r="AY14" s="331" t="str">
        <f t="shared" si="2"/>
        <v>N/A</v>
      </c>
      <c r="AZ14" s="331"/>
      <c r="BA14" s="331" t="str">
        <f t="shared" si="3"/>
        <v>N/A</v>
      </c>
      <c r="BB14" s="331"/>
      <c r="BC14" s="331" t="str">
        <f t="shared" si="4"/>
        <v>N/A</v>
      </c>
      <c r="BD14" s="331"/>
      <c r="BE14" s="331" t="str">
        <f t="shared" si="5"/>
        <v>N/A</v>
      </c>
      <c r="BF14" s="331"/>
      <c r="BG14" s="331" t="str">
        <f t="shared" si="6"/>
        <v>N/A</v>
      </c>
      <c r="BH14" s="331"/>
      <c r="BI14" s="331" t="str">
        <f t="shared" si="7"/>
        <v>N/A</v>
      </c>
      <c r="BJ14" s="331"/>
      <c r="BK14" s="331" t="str">
        <f t="shared" si="8"/>
        <v>N/A</v>
      </c>
      <c r="BL14" s="331"/>
      <c r="BM14" s="331" t="str">
        <f t="shared" si="9"/>
        <v>N/A</v>
      </c>
      <c r="BN14" s="331"/>
      <c r="BO14" s="331" t="str">
        <f t="shared" si="10"/>
        <v>N/A</v>
      </c>
      <c r="BP14" s="331"/>
      <c r="BQ14" s="331" t="str">
        <f t="shared" si="11"/>
        <v>N/A</v>
      </c>
      <c r="BR14" s="331"/>
      <c r="BS14" s="331" t="str">
        <f t="shared" si="12"/>
        <v>N/A</v>
      </c>
      <c r="BT14" s="331"/>
      <c r="BU14" s="331" t="str">
        <f t="shared" si="13"/>
        <v>N/A</v>
      </c>
      <c r="BV14" s="331"/>
    </row>
    <row r="15" spans="2:74" ht="24" customHeight="1">
      <c r="B15" s="425">
        <v>81</v>
      </c>
      <c r="C15" s="25">
        <v>7</v>
      </c>
      <c r="D15" s="54" t="s">
        <v>107</v>
      </c>
      <c r="E15" s="25" t="s">
        <v>40</v>
      </c>
      <c r="F15" s="527"/>
      <c r="G15" s="528"/>
      <c r="H15" s="529"/>
      <c r="I15" s="528"/>
      <c r="J15" s="529"/>
      <c r="K15" s="528"/>
      <c r="L15" s="529"/>
      <c r="M15" s="528"/>
      <c r="N15" s="529"/>
      <c r="O15" s="528"/>
      <c r="P15" s="527"/>
      <c r="Q15" s="528"/>
      <c r="R15" s="527"/>
      <c r="S15" s="528"/>
      <c r="T15" s="527"/>
      <c r="U15" s="528"/>
      <c r="V15" s="527"/>
      <c r="W15" s="528"/>
      <c r="X15" s="527"/>
      <c r="Y15" s="528"/>
      <c r="Z15" s="527"/>
      <c r="AA15" s="528"/>
      <c r="AB15" s="529"/>
      <c r="AC15" s="528"/>
      <c r="AD15" s="527"/>
      <c r="AE15" s="528"/>
      <c r="AF15" s="527"/>
      <c r="AG15" s="528"/>
      <c r="AH15" s="527"/>
      <c r="AI15" s="528"/>
      <c r="AJ15" s="527"/>
      <c r="AK15" s="179"/>
      <c r="AN15" s="60">
        <v>7</v>
      </c>
      <c r="AO15" s="411" t="s">
        <v>504</v>
      </c>
      <c r="AP15" s="60" t="s">
        <v>169</v>
      </c>
      <c r="AQ15" s="142" t="s">
        <v>644</v>
      </c>
      <c r="AR15" s="192"/>
      <c r="AS15" s="325" t="str">
        <f t="shared" si="0"/>
        <v>N/A</v>
      </c>
      <c r="AT15" s="192"/>
      <c r="AU15" s="331" t="str">
        <f t="shared" si="14"/>
        <v>N/A</v>
      </c>
      <c r="AV15" s="331"/>
      <c r="AW15" s="331" t="str">
        <f t="shared" si="1"/>
        <v>N/A</v>
      </c>
      <c r="AX15" s="331"/>
      <c r="AY15" s="331" t="str">
        <f t="shared" si="2"/>
        <v>N/A</v>
      </c>
      <c r="AZ15" s="331"/>
      <c r="BA15" s="331" t="str">
        <f t="shared" si="3"/>
        <v>N/A</v>
      </c>
      <c r="BB15" s="331"/>
      <c r="BC15" s="331" t="str">
        <f t="shared" si="4"/>
        <v>N/A</v>
      </c>
      <c r="BD15" s="331"/>
      <c r="BE15" s="331" t="str">
        <f t="shared" si="5"/>
        <v>N/A</v>
      </c>
      <c r="BF15" s="331"/>
      <c r="BG15" s="331" t="str">
        <f t="shared" si="6"/>
        <v>N/A</v>
      </c>
      <c r="BH15" s="331"/>
      <c r="BI15" s="331" t="str">
        <f t="shared" si="7"/>
        <v>N/A</v>
      </c>
      <c r="BJ15" s="331"/>
      <c r="BK15" s="331" t="str">
        <f t="shared" si="8"/>
        <v>N/A</v>
      </c>
      <c r="BL15" s="331"/>
      <c r="BM15" s="331" t="str">
        <f t="shared" si="9"/>
        <v>N/A</v>
      </c>
      <c r="BN15" s="331"/>
      <c r="BO15" s="331" t="str">
        <f t="shared" si="10"/>
        <v>N/A</v>
      </c>
      <c r="BP15" s="331"/>
      <c r="BQ15" s="331" t="str">
        <f t="shared" si="11"/>
        <v>N/A</v>
      </c>
      <c r="BR15" s="331"/>
      <c r="BS15" s="331" t="str">
        <f t="shared" si="12"/>
        <v>N/A</v>
      </c>
      <c r="BT15" s="331"/>
      <c r="BU15" s="331" t="str">
        <f t="shared" si="13"/>
        <v>N/A</v>
      </c>
      <c r="BV15" s="331"/>
    </row>
    <row r="16" spans="2:74" ht="15" customHeight="1">
      <c r="B16" s="425">
        <v>33</v>
      </c>
      <c r="C16" s="25">
        <v>8</v>
      </c>
      <c r="D16" s="54" t="s">
        <v>72</v>
      </c>
      <c r="E16" s="25" t="s">
        <v>40</v>
      </c>
      <c r="F16" s="527"/>
      <c r="G16" s="528"/>
      <c r="H16" s="529"/>
      <c r="I16" s="528"/>
      <c r="J16" s="529"/>
      <c r="K16" s="528"/>
      <c r="L16" s="529"/>
      <c r="M16" s="528"/>
      <c r="N16" s="529"/>
      <c r="O16" s="528"/>
      <c r="P16" s="527"/>
      <c r="Q16" s="528"/>
      <c r="R16" s="527"/>
      <c r="S16" s="528"/>
      <c r="T16" s="527"/>
      <c r="U16" s="528"/>
      <c r="V16" s="527"/>
      <c r="W16" s="528"/>
      <c r="X16" s="527"/>
      <c r="Y16" s="528"/>
      <c r="Z16" s="527"/>
      <c r="AA16" s="528"/>
      <c r="AB16" s="529"/>
      <c r="AC16" s="528"/>
      <c r="AD16" s="527"/>
      <c r="AE16" s="528"/>
      <c r="AF16" s="527"/>
      <c r="AG16" s="528"/>
      <c r="AH16" s="527"/>
      <c r="AI16" s="528"/>
      <c r="AJ16" s="527"/>
      <c r="AK16" s="179"/>
      <c r="AN16" s="60">
        <v>8</v>
      </c>
      <c r="AO16" s="411" t="s">
        <v>505</v>
      </c>
      <c r="AP16" s="60" t="s">
        <v>169</v>
      </c>
      <c r="AQ16" s="142" t="s">
        <v>644</v>
      </c>
      <c r="AR16" s="192"/>
      <c r="AS16" s="325" t="str">
        <f t="shared" si="0"/>
        <v>N/A</v>
      </c>
      <c r="AT16" s="192"/>
      <c r="AU16" s="331" t="str">
        <f t="shared" si="14"/>
        <v>N/A</v>
      </c>
      <c r="AV16" s="331"/>
      <c r="AW16" s="331" t="str">
        <f t="shared" si="1"/>
        <v>N/A</v>
      </c>
      <c r="AX16" s="331"/>
      <c r="AY16" s="331" t="str">
        <f t="shared" si="2"/>
        <v>N/A</v>
      </c>
      <c r="AZ16" s="331"/>
      <c r="BA16" s="331" t="str">
        <f t="shared" si="3"/>
        <v>N/A</v>
      </c>
      <c r="BB16" s="331"/>
      <c r="BC16" s="331" t="str">
        <f t="shared" si="4"/>
        <v>N/A</v>
      </c>
      <c r="BD16" s="331"/>
      <c r="BE16" s="331" t="str">
        <f t="shared" si="5"/>
        <v>N/A</v>
      </c>
      <c r="BF16" s="331"/>
      <c r="BG16" s="331" t="str">
        <f t="shared" si="6"/>
        <v>N/A</v>
      </c>
      <c r="BH16" s="331"/>
      <c r="BI16" s="331" t="str">
        <f t="shared" si="7"/>
        <v>N/A</v>
      </c>
      <c r="BJ16" s="331"/>
      <c r="BK16" s="331" t="str">
        <f t="shared" si="8"/>
        <v>N/A</v>
      </c>
      <c r="BL16" s="331"/>
      <c r="BM16" s="331" t="str">
        <f t="shared" si="9"/>
        <v>N/A</v>
      </c>
      <c r="BN16" s="331"/>
      <c r="BO16" s="331" t="str">
        <f t="shared" si="10"/>
        <v>N/A</v>
      </c>
      <c r="BP16" s="331"/>
      <c r="BQ16" s="331" t="str">
        <f t="shared" si="11"/>
        <v>N/A</v>
      </c>
      <c r="BR16" s="331"/>
      <c r="BS16" s="331" t="str">
        <f t="shared" si="12"/>
        <v>N/A</v>
      </c>
      <c r="BT16" s="331"/>
      <c r="BU16" s="331" t="str">
        <f t="shared" si="13"/>
        <v>N/A</v>
      </c>
      <c r="BV16" s="331"/>
    </row>
    <row r="17" spans="2:74" ht="14.25" customHeight="1">
      <c r="B17" s="425">
        <v>82</v>
      </c>
      <c r="C17" s="62">
        <v>9</v>
      </c>
      <c r="D17" s="221" t="s">
        <v>73</v>
      </c>
      <c r="E17" s="25" t="s">
        <v>40</v>
      </c>
      <c r="F17" s="527"/>
      <c r="G17" s="528"/>
      <c r="H17" s="529"/>
      <c r="I17" s="528"/>
      <c r="J17" s="529"/>
      <c r="K17" s="528"/>
      <c r="L17" s="529"/>
      <c r="M17" s="528"/>
      <c r="N17" s="529"/>
      <c r="O17" s="528"/>
      <c r="P17" s="527"/>
      <c r="Q17" s="528"/>
      <c r="R17" s="527"/>
      <c r="S17" s="528"/>
      <c r="T17" s="527"/>
      <c r="U17" s="528"/>
      <c r="V17" s="527"/>
      <c r="W17" s="528"/>
      <c r="X17" s="527"/>
      <c r="Y17" s="528"/>
      <c r="Z17" s="527"/>
      <c r="AA17" s="528"/>
      <c r="AB17" s="529"/>
      <c r="AC17" s="528"/>
      <c r="AD17" s="527"/>
      <c r="AE17" s="528"/>
      <c r="AF17" s="527"/>
      <c r="AG17" s="528"/>
      <c r="AH17" s="527"/>
      <c r="AI17" s="528"/>
      <c r="AJ17" s="527"/>
      <c r="AK17" s="179"/>
      <c r="AN17" s="310">
        <v>9</v>
      </c>
      <c r="AO17" s="410" t="s">
        <v>676</v>
      </c>
      <c r="AP17" s="60" t="s">
        <v>169</v>
      </c>
      <c r="AQ17" s="142" t="s">
        <v>644</v>
      </c>
      <c r="AR17" s="192"/>
      <c r="AS17" s="325" t="str">
        <f t="shared" si="0"/>
        <v>N/A</v>
      </c>
      <c r="AT17" s="192"/>
      <c r="AU17" s="331" t="str">
        <f t="shared" si="14"/>
        <v>N/A</v>
      </c>
      <c r="AV17" s="331"/>
      <c r="AW17" s="331" t="str">
        <f t="shared" si="1"/>
        <v>N/A</v>
      </c>
      <c r="AX17" s="331"/>
      <c r="AY17" s="331" t="str">
        <f t="shared" si="2"/>
        <v>N/A</v>
      </c>
      <c r="AZ17" s="331"/>
      <c r="BA17" s="331" t="str">
        <f t="shared" si="3"/>
        <v>N/A</v>
      </c>
      <c r="BB17" s="331"/>
      <c r="BC17" s="331" t="str">
        <f t="shared" si="4"/>
        <v>N/A</v>
      </c>
      <c r="BD17" s="331"/>
      <c r="BE17" s="331" t="str">
        <f t="shared" si="5"/>
        <v>N/A</v>
      </c>
      <c r="BF17" s="331"/>
      <c r="BG17" s="331" t="str">
        <f t="shared" si="6"/>
        <v>N/A</v>
      </c>
      <c r="BH17" s="331"/>
      <c r="BI17" s="331" t="str">
        <f t="shared" si="7"/>
        <v>N/A</v>
      </c>
      <c r="BJ17" s="331"/>
      <c r="BK17" s="331" t="str">
        <f t="shared" si="8"/>
        <v>N/A</v>
      </c>
      <c r="BL17" s="331"/>
      <c r="BM17" s="331" t="str">
        <f t="shared" si="9"/>
        <v>N/A</v>
      </c>
      <c r="BN17" s="331"/>
      <c r="BO17" s="331" t="str">
        <f t="shared" si="10"/>
        <v>N/A</v>
      </c>
      <c r="BP17" s="331"/>
      <c r="BQ17" s="331" t="str">
        <f t="shared" si="11"/>
        <v>N/A</v>
      </c>
      <c r="BR17" s="331"/>
      <c r="BS17" s="331" t="str">
        <f t="shared" si="12"/>
        <v>N/A</v>
      </c>
      <c r="BT17" s="331"/>
      <c r="BU17" s="331" t="str">
        <f t="shared" si="13"/>
        <v>N/A</v>
      </c>
      <c r="BV17" s="331"/>
    </row>
    <row r="18" spans="2:74" ht="15" customHeight="1">
      <c r="B18" s="425">
        <v>37</v>
      </c>
      <c r="C18" s="25">
        <v>10</v>
      </c>
      <c r="D18" s="85" t="s">
        <v>74</v>
      </c>
      <c r="E18" s="25" t="s">
        <v>40</v>
      </c>
      <c r="F18" s="144"/>
      <c r="G18" s="196"/>
      <c r="H18" s="159"/>
      <c r="I18" s="196"/>
      <c r="J18" s="159"/>
      <c r="K18" s="196"/>
      <c r="L18" s="159"/>
      <c r="M18" s="196"/>
      <c r="N18" s="159"/>
      <c r="O18" s="196"/>
      <c r="P18" s="144"/>
      <c r="Q18" s="196"/>
      <c r="R18" s="144"/>
      <c r="S18" s="196"/>
      <c r="T18" s="144"/>
      <c r="U18" s="196"/>
      <c r="V18" s="144"/>
      <c r="W18" s="196"/>
      <c r="X18" s="144"/>
      <c r="Y18" s="196"/>
      <c r="Z18" s="144"/>
      <c r="AA18" s="196"/>
      <c r="AB18" s="159"/>
      <c r="AC18" s="196"/>
      <c r="AD18" s="144"/>
      <c r="AE18" s="196"/>
      <c r="AF18" s="144"/>
      <c r="AG18" s="196"/>
      <c r="AH18" s="144"/>
      <c r="AI18" s="196"/>
      <c r="AJ18" s="144"/>
      <c r="AK18" s="196"/>
      <c r="AN18" s="60">
        <v>10</v>
      </c>
      <c r="AO18" s="412" t="s">
        <v>176</v>
      </c>
      <c r="AP18" s="60" t="s">
        <v>169</v>
      </c>
      <c r="AQ18" s="143" t="s">
        <v>644</v>
      </c>
      <c r="AR18" s="193"/>
      <c r="AS18" s="325" t="str">
        <f t="shared" si="0"/>
        <v>N/A</v>
      </c>
      <c r="AT18" s="193"/>
      <c r="AU18" s="331" t="str">
        <f t="shared" si="14"/>
        <v>N/A</v>
      </c>
      <c r="AV18" s="331"/>
      <c r="AW18" s="331" t="str">
        <f t="shared" si="1"/>
        <v>N/A</v>
      </c>
      <c r="AX18" s="331"/>
      <c r="AY18" s="331" t="str">
        <f t="shared" si="2"/>
        <v>N/A</v>
      </c>
      <c r="AZ18" s="331"/>
      <c r="BA18" s="331" t="str">
        <f t="shared" si="3"/>
        <v>N/A</v>
      </c>
      <c r="BB18" s="331"/>
      <c r="BC18" s="331" t="str">
        <f t="shared" si="4"/>
        <v>N/A</v>
      </c>
      <c r="BD18" s="331"/>
      <c r="BE18" s="331" t="str">
        <f t="shared" si="5"/>
        <v>N/A</v>
      </c>
      <c r="BF18" s="331"/>
      <c r="BG18" s="331" t="str">
        <f t="shared" si="6"/>
        <v>N/A</v>
      </c>
      <c r="BH18" s="331"/>
      <c r="BI18" s="331" t="str">
        <f t="shared" si="7"/>
        <v>N/A</v>
      </c>
      <c r="BJ18" s="331"/>
      <c r="BK18" s="331" t="str">
        <f t="shared" si="8"/>
        <v>N/A</v>
      </c>
      <c r="BL18" s="331"/>
      <c r="BM18" s="331" t="str">
        <f t="shared" si="9"/>
        <v>N/A</v>
      </c>
      <c r="BN18" s="331"/>
      <c r="BO18" s="331" t="str">
        <f t="shared" si="10"/>
        <v>N/A</v>
      </c>
      <c r="BP18" s="331"/>
      <c r="BQ18" s="331" t="str">
        <f t="shared" si="11"/>
        <v>N/A</v>
      </c>
      <c r="BR18" s="331"/>
      <c r="BS18" s="331" t="str">
        <f t="shared" si="12"/>
        <v>N/A</v>
      </c>
      <c r="BT18" s="331"/>
      <c r="BU18" s="331" t="str">
        <f t="shared" si="13"/>
        <v>N/A</v>
      </c>
      <c r="BV18" s="331"/>
    </row>
    <row r="19" spans="2:74" ht="12.75" customHeight="1">
      <c r="B19" s="398">
        <v>5009</v>
      </c>
      <c r="C19" s="82"/>
      <c r="D19" s="222" t="s">
        <v>108</v>
      </c>
      <c r="E19" s="82"/>
      <c r="F19" s="143"/>
      <c r="G19" s="193"/>
      <c r="H19" s="158"/>
      <c r="I19" s="193"/>
      <c r="J19" s="158"/>
      <c r="K19" s="193"/>
      <c r="L19" s="158"/>
      <c r="M19" s="193"/>
      <c r="N19" s="158"/>
      <c r="O19" s="193"/>
      <c r="P19" s="143"/>
      <c r="Q19" s="193"/>
      <c r="R19" s="143"/>
      <c r="S19" s="193"/>
      <c r="T19" s="143"/>
      <c r="U19" s="193"/>
      <c r="V19" s="143"/>
      <c r="W19" s="193"/>
      <c r="X19" s="143"/>
      <c r="Y19" s="193"/>
      <c r="Z19" s="143"/>
      <c r="AA19" s="193"/>
      <c r="AB19" s="158"/>
      <c r="AC19" s="193"/>
      <c r="AD19" s="143"/>
      <c r="AE19" s="193"/>
      <c r="AF19" s="143"/>
      <c r="AG19" s="193"/>
      <c r="AH19" s="143"/>
      <c r="AI19" s="193"/>
      <c r="AJ19" s="143"/>
      <c r="AK19" s="193"/>
      <c r="AN19" s="82"/>
      <c r="AO19" s="222" t="s">
        <v>502</v>
      </c>
      <c r="AP19" s="82"/>
      <c r="AQ19" s="143" t="s">
        <v>644</v>
      </c>
      <c r="AR19" s="193"/>
      <c r="AS19" s="325"/>
      <c r="AT19" s="193"/>
      <c r="AU19" s="158"/>
      <c r="AV19" s="193"/>
      <c r="AW19" s="158"/>
      <c r="AX19" s="193"/>
      <c r="AY19" s="158"/>
      <c r="AZ19" s="193"/>
      <c r="BA19" s="143"/>
      <c r="BB19" s="193"/>
      <c r="BC19" s="143"/>
      <c r="BD19" s="193"/>
      <c r="BE19" s="143"/>
      <c r="BF19" s="193"/>
      <c r="BG19" s="143"/>
      <c r="BH19" s="193"/>
      <c r="BI19" s="143"/>
      <c r="BJ19" s="193"/>
      <c r="BK19" s="143"/>
      <c r="BL19" s="193"/>
      <c r="BM19" s="158"/>
      <c r="BN19" s="193"/>
      <c r="BO19" s="143"/>
      <c r="BP19" s="193"/>
      <c r="BQ19" s="143"/>
      <c r="BR19" s="193"/>
      <c r="BS19" s="143"/>
      <c r="BT19" s="193"/>
      <c r="BU19" s="143"/>
      <c r="BV19" s="193"/>
    </row>
    <row r="20" spans="1:74" s="68" customFormat="1" ht="24.75" customHeight="1">
      <c r="A20" s="461"/>
      <c r="B20" s="425">
        <v>277</v>
      </c>
      <c r="C20" s="26">
        <v>11</v>
      </c>
      <c r="D20" s="95" t="s">
        <v>109</v>
      </c>
      <c r="E20" s="25" t="s">
        <v>155</v>
      </c>
      <c r="F20" s="138"/>
      <c r="G20" s="179"/>
      <c r="H20" s="154"/>
      <c r="I20" s="179"/>
      <c r="J20" s="154"/>
      <c r="K20" s="179"/>
      <c r="L20" s="154"/>
      <c r="M20" s="179"/>
      <c r="N20" s="154"/>
      <c r="O20" s="179"/>
      <c r="P20" s="138"/>
      <c r="Q20" s="179"/>
      <c r="R20" s="138"/>
      <c r="S20" s="179"/>
      <c r="T20" s="138"/>
      <c r="U20" s="179"/>
      <c r="V20" s="138"/>
      <c r="W20" s="179"/>
      <c r="X20" s="138"/>
      <c r="Y20" s="179"/>
      <c r="Z20" s="138"/>
      <c r="AA20" s="179"/>
      <c r="AB20" s="154"/>
      <c r="AC20" s="179"/>
      <c r="AD20" s="138"/>
      <c r="AE20" s="179"/>
      <c r="AF20" s="138"/>
      <c r="AG20" s="179"/>
      <c r="AH20" s="138"/>
      <c r="AI20" s="179"/>
      <c r="AJ20" s="138"/>
      <c r="AK20" s="179"/>
      <c r="AM20" s="431"/>
      <c r="AN20" s="59">
        <v>11</v>
      </c>
      <c r="AO20" s="315" t="s">
        <v>540</v>
      </c>
      <c r="AP20" s="59" t="s">
        <v>155</v>
      </c>
      <c r="AQ20" s="142" t="s">
        <v>644</v>
      </c>
      <c r="AR20" s="192"/>
      <c r="AS20" s="331" t="str">
        <f>IF(OR(ISBLANK(F20),ISBLANK(H20)),"N/A",IF(ABS(H20-F20)&gt;25,"&gt; 25%","ok"))</f>
        <v>N/A</v>
      </c>
      <c r="AT20" s="192"/>
      <c r="AU20" s="331" t="str">
        <f>IF(OR(ISBLANK(H20),ISBLANK(J20)),"N/A",IF(ABS(J20-H20)&gt;25,"&gt; 25%","ok"))</f>
        <v>N/A</v>
      </c>
      <c r="AV20" s="331"/>
      <c r="AW20" s="331" t="str">
        <f aca="true" t="shared" si="15" ref="AW20:BK22">IF(OR(ISBLANK(J20),ISBLANK(L20)),"N/A",IF(ABS(L20-J20)&gt;25,"&gt; 25%","ok"))</f>
        <v>N/A</v>
      </c>
      <c r="AX20" s="331"/>
      <c r="AY20" s="331" t="str">
        <f t="shared" si="15"/>
        <v>N/A</v>
      </c>
      <c r="AZ20" s="331"/>
      <c r="BA20" s="331" t="str">
        <f t="shared" si="15"/>
        <v>N/A</v>
      </c>
      <c r="BB20" s="331"/>
      <c r="BC20" s="331" t="str">
        <f t="shared" si="15"/>
        <v>N/A</v>
      </c>
      <c r="BD20" s="331"/>
      <c r="BE20" s="331" t="str">
        <f t="shared" si="15"/>
        <v>N/A</v>
      </c>
      <c r="BF20" s="331"/>
      <c r="BG20" s="331" t="str">
        <f t="shared" si="15"/>
        <v>N/A</v>
      </c>
      <c r="BH20" s="331"/>
      <c r="BI20" s="331" t="str">
        <f t="shared" si="15"/>
        <v>N/A</v>
      </c>
      <c r="BJ20" s="331"/>
      <c r="BK20" s="331" t="str">
        <f t="shared" si="15"/>
        <v>N/A</v>
      </c>
      <c r="BL20" s="331"/>
      <c r="BM20" s="331" t="str">
        <f aca="true" t="shared" si="16" ref="BM20:BU22">IF(OR(ISBLANK(Z20),ISBLANK(AB20)),"N/A",IF(ABS(AB20-Z20)&gt;25,"&gt; 25%","ok"))</f>
        <v>N/A</v>
      </c>
      <c r="BN20" s="331"/>
      <c r="BO20" s="331" t="str">
        <f t="shared" si="16"/>
        <v>N/A</v>
      </c>
      <c r="BP20" s="331"/>
      <c r="BQ20" s="331" t="str">
        <f t="shared" si="16"/>
        <v>N/A</v>
      </c>
      <c r="BR20" s="331"/>
      <c r="BS20" s="331" t="str">
        <f t="shared" si="16"/>
        <v>N/A</v>
      </c>
      <c r="BT20" s="331"/>
      <c r="BU20" s="331" t="str">
        <f t="shared" si="16"/>
        <v>N/A</v>
      </c>
      <c r="BV20" s="192"/>
    </row>
    <row r="21" spans="1:74" s="68" customFormat="1" ht="24.75" customHeight="1">
      <c r="A21" s="461"/>
      <c r="B21" s="425">
        <v>261</v>
      </c>
      <c r="C21" s="26">
        <v>12</v>
      </c>
      <c r="D21" s="95" t="s">
        <v>110</v>
      </c>
      <c r="E21" s="25" t="s">
        <v>155</v>
      </c>
      <c r="F21" s="138"/>
      <c r="G21" s="179"/>
      <c r="H21" s="154"/>
      <c r="I21" s="179"/>
      <c r="J21" s="154"/>
      <c r="K21" s="179"/>
      <c r="L21" s="154"/>
      <c r="M21" s="179"/>
      <c r="N21" s="154"/>
      <c r="O21" s="179"/>
      <c r="P21" s="138"/>
      <c r="Q21" s="179"/>
      <c r="R21" s="138"/>
      <c r="S21" s="179"/>
      <c r="T21" s="138"/>
      <c r="U21" s="179"/>
      <c r="V21" s="138"/>
      <c r="W21" s="179"/>
      <c r="X21" s="138"/>
      <c r="Y21" s="179"/>
      <c r="Z21" s="138"/>
      <c r="AA21" s="179"/>
      <c r="AB21" s="154"/>
      <c r="AC21" s="179"/>
      <c r="AD21" s="138"/>
      <c r="AE21" s="179"/>
      <c r="AF21" s="138"/>
      <c r="AG21" s="179"/>
      <c r="AH21" s="138"/>
      <c r="AI21" s="179"/>
      <c r="AJ21" s="138"/>
      <c r="AK21" s="179"/>
      <c r="AM21" s="431"/>
      <c r="AN21" s="60">
        <v>12</v>
      </c>
      <c r="AO21" s="314" t="s">
        <v>518</v>
      </c>
      <c r="AP21" s="60" t="s">
        <v>155</v>
      </c>
      <c r="AQ21" s="142" t="s">
        <v>644</v>
      </c>
      <c r="AR21" s="192"/>
      <c r="AS21" s="331" t="str">
        <f>IF(OR(ISBLANK(F21),ISBLANK(H21)),"N/A",IF(ABS(H21-F21)&gt;25,"&gt; 25%","ok"))</f>
        <v>N/A</v>
      </c>
      <c r="AT21" s="192"/>
      <c r="AU21" s="331" t="str">
        <f>IF(OR(ISBLANK(H21),ISBLANK(J21)),"N/A",IF(ABS(J21-H21)&gt;25,"&gt; 25%","ok"))</f>
        <v>N/A</v>
      </c>
      <c r="AV21" s="331"/>
      <c r="AW21" s="331" t="str">
        <f t="shared" si="15"/>
        <v>N/A</v>
      </c>
      <c r="AX21" s="331"/>
      <c r="AY21" s="331" t="str">
        <f t="shared" si="15"/>
        <v>N/A</v>
      </c>
      <c r="AZ21" s="331"/>
      <c r="BA21" s="331" t="str">
        <f t="shared" si="15"/>
        <v>N/A</v>
      </c>
      <c r="BB21" s="331"/>
      <c r="BC21" s="331" t="str">
        <f t="shared" si="15"/>
        <v>N/A</v>
      </c>
      <c r="BD21" s="331"/>
      <c r="BE21" s="331" t="str">
        <f t="shared" si="15"/>
        <v>N/A</v>
      </c>
      <c r="BF21" s="331"/>
      <c r="BG21" s="331" t="str">
        <f t="shared" si="15"/>
        <v>N/A</v>
      </c>
      <c r="BH21" s="331"/>
      <c r="BI21" s="331" t="str">
        <f t="shared" si="15"/>
        <v>N/A</v>
      </c>
      <c r="BJ21" s="331"/>
      <c r="BK21" s="331" t="str">
        <f t="shared" si="15"/>
        <v>N/A</v>
      </c>
      <c r="BL21" s="331"/>
      <c r="BM21" s="331" t="str">
        <f t="shared" si="16"/>
        <v>N/A</v>
      </c>
      <c r="BN21" s="331"/>
      <c r="BO21" s="331" t="str">
        <f t="shared" si="16"/>
        <v>N/A</v>
      </c>
      <c r="BP21" s="331"/>
      <c r="BQ21" s="331" t="str">
        <f t="shared" si="16"/>
        <v>N/A</v>
      </c>
      <c r="BR21" s="331"/>
      <c r="BS21" s="331" t="str">
        <f t="shared" si="16"/>
        <v>N/A</v>
      </c>
      <c r="BT21" s="331"/>
      <c r="BU21" s="331" t="str">
        <f t="shared" si="16"/>
        <v>N/A</v>
      </c>
      <c r="BV21" s="192"/>
    </row>
    <row r="22" spans="1:74" s="68" customFormat="1" ht="24.75" customHeight="1">
      <c r="A22" s="461"/>
      <c r="B22" s="425">
        <v>262</v>
      </c>
      <c r="C22" s="67">
        <v>13</v>
      </c>
      <c r="D22" s="65" t="s">
        <v>111</v>
      </c>
      <c r="E22" s="61" t="s">
        <v>155</v>
      </c>
      <c r="F22" s="140"/>
      <c r="G22" s="181"/>
      <c r="H22" s="145"/>
      <c r="I22" s="181"/>
      <c r="J22" s="145"/>
      <c r="K22" s="181"/>
      <c r="L22" s="145"/>
      <c r="M22" s="181"/>
      <c r="N22" s="145"/>
      <c r="O22" s="181"/>
      <c r="P22" s="140"/>
      <c r="Q22" s="181"/>
      <c r="R22" s="140"/>
      <c r="S22" s="181"/>
      <c r="T22" s="140"/>
      <c r="U22" s="181"/>
      <c r="V22" s="140"/>
      <c r="W22" s="181"/>
      <c r="X22" s="140"/>
      <c r="Y22" s="181"/>
      <c r="Z22" s="140"/>
      <c r="AA22" s="181"/>
      <c r="AB22" s="145"/>
      <c r="AC22" s="181"/>
      <c r="AD22" s="140"/>
      <c r="AE22" s="181"/>
      <c r="AF22" s="140"/>
      <c r="AG22" s="181"/>
      <c r="AH22" s="140"/>
      <c r="AI22" s="181"/>
      <c r="AJ22" s="140"/>
      <c r="AK22" s="181"/>
      <c r="AM22" s="431"/>
      <c r="AN22" s="316">
        <v>13</v>
      </c>
      <c r="AO22" s="317" t="s">
        <v>519</v>
      </c>
      <c r="AP22" s="316" t="s">
        <v>155</v>
      </c>
      <c r="AQ22" s="318" t="s">
        <v>644</v>
      </c>
      <c r="AR22" s="319"/>
      <c r="AS22" s="326" t="str">
        <f>IF(OR(ISBLANK(F22),ISBLANK(H22)),"N/A",IF(ABS(H22-F22)&gt;25,"&gt; 25%","ok"))</f>
        <v>N/A</v>
      </c>
      <c r="AT22" s="319"/>
      <c r="AU22" s="326" t="str">
        <f>IF(OR(ISBLANK(H22),ISBLANK(J22)),"N/A",IF(ABS(J22-H22)&gt;25,"&gt; 25%","ok"))</f>
        <v>N/A</v>
      </c>
      <c r="AV22" s="326"/>
      <c r="AW22" s="326" t="str">
        <f t="shared" si="15"/>
        <v>N/A</v>
      </c>
      <c r="AX22" s="326"/>
      <c r="AY22" s="326" t="str">
        <f t="shared" si="15"/>
        <v>N/A</v>
      </c>
      <c r="AZ22" s="326"/>
      <c r="BA22" s="326" t="str">
        <f t="shared" si="15"/>
        <v>N/A</v>
      </c>
      <c r="BB22" s="326"/>
      <c r="BC22" s="326" t="str">
        <f t="shared" si="15"/>
        <v>N/A</v>
      </c>
      <c r="BD22" s="326"/>
      <c r="BE22" s="326" t="str">
        <f t="shared" si="15"/>
        <v>N/A</v>
      </c>
      <c r="BF22" s="326"/>
      <c r="BG22" s="326" t="str">
        <f t="shared" si="15"/>
        <v>N/A</v>
      </c>
      <c r="BH22" s="326"/>
      <c r="BI22" s="326" t="str">
        <f t="shared" si="15"/>
        <v>N/A</v>
      </c>
      <c r="BJ22" s="326"/>
      <c r="BK22" s="326" t="str">
        <f t="shared" si="15"/>
        <v>N/A</v>
      </c>
      <c r="BL22" s="326"/>
      <c r="BM22" s="326" t="str">
        <f t="shared" si="16"/>
        <v>N/A</v>
      </c>
      <c r="BN22" s="326"/>
      <c r="BO22" s="326" t="str">
        <f t="shared" si="16"/>
        <v>N/A</v>
      </c>
      <c r="BP22" s="326"/>
      <c r="BQ22" s="326" t="str">
        <f t="shared" si="16"/>
        <v>N/A</v>
      </c>
      <c r="BR22" s="326"/>
      <c r="BS22" s="326" t="str">
        <f t="shared" si="16"/>
        <v>N/A</v>
      </c>
      <c r="BT22" s="326"/>
      <c r="BU22" s="326" t="str">
        <f t="shared" si="16"/>
        <v>N/A</v>
      </c>
      <c r="BV22" s="319"/>
    </row>
    <row r="23" spans="40:74" ht="4.5" customHeight="1">
      <c r="AN23" s="690" t="s">
        <v>81</v>
      </c>
      <c r="AO23" s="690"/>
      <c r="AP23" s="690"/>
      <c r="AQ23" s="690"/>
      <c r="AR23" s="690"/>
      <c r="AS23" s="690"/>
      <c r="AT23" s="690"/>
      <c r="AU23" s="690"/>
      <c r="AV23" s="690"/>
      <c r="AW23" s="690"/>
      <c r="AX23" s="690"/>
      <c r="AY23" s="690"/>
      <c r="AZ23" s="690"/>
      <c r="BA23" s="690"/>
      <c r="BB23" s="690"/>
      <c r="BC23" s="690"/>
      <c r="BD23" s="690"/>
      <c r="BE23" s="690"/>
      <c r="BF23" s="690"/>
      <c r="BG23" s="690"/>
      <c r="BH23" s="690"/>
      <c r="BI23" s="690"/>
      <c r="BJ23" s="690"/>
      <c r="BK23" s="690"/>
      <c r="BL23" s="690"/>
      <c r="BM23" s="690"/>
      <c r="BN23" s="690"/>
      <c r="BO23" s="690"/>
      <c r="BP23" s="690"/>
      <c r="BQ23" s="690"/>
      <c r="BR23" s="690"/>
      <c r="BS23" s="690"/>
      <c r="BT23" s="690"/>
      <c r="BU23" s="690"/>
      <c r="BV23" s="690"/>
    </row>
    <row r="24" spans="3:74" ht="15" customHeight="1">
      <c r="C24" s="3" t="s">
        <v>87</v>
      </c>
      <c r="D24" s="4"/>
      <c r="E24" s="20"/>
      <c r="F24" s="3"/>
      <c r="G24" s="3"/>
      <c r="AN24" s="63" t="s">
        <v>157</v>
      </c>
      <c r="AO24" s="63" t="s">
        <v>164</v>
      </c>
      <c r="AP24" s="63" t="s">
        <v>166</v>
      </c>
      <c r="AQ24" s="135">
        <v>1990</v>
      </c>
      <c r="AR24" s="199"/>
      <c r="AS24" s="136">
        <v>1995</v>
      </c>
      <c r="AT24" s="199"/>
      <c r="AU24" s="136">
        <v>1996</v>
      </c>
      <c r="AV24" s="199"/>
      <c r="AW24" s="136">
        <v>1997</v>
      </c>
      <c r="AX24" s="199"/>
      <c r="AY24" s="136">
        <v>1998</v>
      </c>
      <c r="AZ24" s="199"/>
      <c r="BA24" s="136">
        <v>1999</v>
      </c>
      <c r="BB24" s="199"/>
      <c r="BC24" s="136">
        <v>2000</v>
      </c>
      <c r="BD24" s="199"/>
      <c r="BE24" s="136">
        <v>2001</v>
      </c>
      <c r="BF24" s="199"/>
      <c r="BG24" s="136">
        <v>2002</v>
      </c>
      <c r="BH24" s="199"/>
      <c r="BI24" s="136">
        <v>2003</v>
      </c>
      <c r="BJ24" s="199"/>
      <c r="BK24" s="136">
        <v>2004</v>
      </c>
      <c r="BL24" s="199"/>
      <c r="BM24" s="136">
        <v>2005</v>
      </c>
      <c r="BN24" s="199"/>
      <c r="BO24" s="136">
        <v>2006</v>
      </c>
      <c r="BP24" s="199"/>
      <c r="BQ24" s="136">
        <v>2007</v>
      </c>
      <c r="BR24" s="199"/>
      <c r="BS24" s="136">
        <v>2008</v>
      </c>
      <c r="BT24" s="199"/>
      <c r="BU24" s="136">
        <v>2009</v>
      </c>
      <c r="BV24" s="199"/>
    </row>
    <row r="25" spans="3:74" ht="24.75" customHeight="1">
      <c r="C25" s="266" t="s">
        <v>667</v>
      </c>
      <c r="D25" s="685" t="s">
        <v>112</v>
      </c>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377"/>
      <c r="AN25" s="60">
        <v>2</v>
      </c>
      <c r="AO25" s="314" t="s">
        <v>537</v>
      </c>
      <c r="AP25" s="60" t="s">
        <v>169</v>
      </c>
      <c r="AQ25" s="328">
        <f>F9</f>
        <v>0</v>
      </c>
      <c r="AR25" s="328"/>
      <c r="AS25" s="328">
        <f aca="true" t="shared" si="17" ref="AS25:BU25">H9</f>
        <v>0</v>
      </c>
      <c r="AT25" s="328"/>
      <c r="AU25" s="328">
        <f t="shared" si="17"/>
        <v>0</v>
      </c>
      <c r="AV25" s="328"/>
      <c r="AW25" s="328">
        <f t="shared" si="17"/>
        <v>0</v>
      </c>
      <c r="AX25" s="328"/>
      <c r="AY25" s="328">
        <f t="shared" si="17"/>
        <v>0</v>
      </c>
      <c r="AZ25" s="328"/>
      <c r="BA25" s="328">
        <f t="shared" si="17"/>
        <v>0</v>
      </c>
      <c r="BB25" s="328"/>
      <c r="BC25" s="328">
        <f t="shared" si="17"/>
        <v>0</v>
      </c>
      <c r="BD25" s="328"/>
      <c r="BE25" s="328">
        <f t="shared" si="17"/>
        <v>0</v>
      </c>
      <c r="BF25" s="328"/>
      <c r="BG25" s="328">
        <f t="shared" si="17"/>
        <v>0</v>
      </c>
      <c r="BH25" s="328"/>
      <c r="BI25" s="328">
        <f t="shared" si="17"/>
        <v>0</v>
      </c>
      <c r="BJ25" s="328"/>
      <c r="BK25" s="328">
        <f t="shared" si="17"/>
        <v>0</v>
      </c>
      <c r="BL25" s="328"/>
      <c r="BM25" s="328">
        <f t="shared" si="17"/>
        <v>0</v>
      </c>
      <c r="BN25" s="328"/>
      <c r="BO25" s="328">
        <f t="shared" si="17"/>
        <v>0</v>
      </c>
      <c r="BP25" s="328"/>
      <c r="BQ25" s="328">
        <f t="shared" si="17"/>
        <v>0</v>
      </c>
      <c r="BR25" s="328"/>
      <c r="BS25" s="328">
        <f t="shared" si="17"/>
        <v>0</v>
      </c>
      <c r="BT25" s="328"/>
      <c r="BU25" s="328">
        <f t="shared" si="17"/>
        <v>0</v>
      </c>
      <c r="BV25" s="192"/>
    </row>
    <row r="26" spans="1:89" s="215" customFormat="1" ht="25.5" customHeight="1">
      <c r="A26" s="400"/>
      <c r="B26" s="400"/>
      <c r="C26" s="266" t="s">
        <v>667</v>
      </c>
      <c r="D26" s="669" t="s">
        <v>47</v>
      </c>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377"/>
      <c r="AN26" s="59" t="s">
        <v>645</v>
      </c>
      <c r="AO26" s="516" t="s">
        <v>542</v>
      </c>
      <c r="AP26" s="60" t="s">
        <v>169</v>
      </c>
      <c r="AQ26" s="328">
        <f>'W3'!F16</f>
        <v>0</v>
      </c>
      <c r="AR26" s="328">
        <f>'W3'!G16</f>
        <v>0</v>
      </c>
      <c r="AS26" s="328">
        <f>'W3'!H16</f>
        <v>0</v>
      </c>
      <c r="AT26" s="328">
        <f>'W3'!I16</f>
        <v>0</v>
      </c>
      <c r="AU26" s="328">
        <f>'W3'!J16</f>
        <v>0</v>
      </c>
      <c r="AV26" s="328">
        <f>'W3'!K16</f>
        <v>0</v>
      </c>
      <c r="AW26" s="328">
        <f>'W3'!L16</f>
        <v>0</v>
      </c>
      <c r="AX26" s="328">
        <f>'W3'!M16</f>
        <v>0</v>
      </c>
      <c r="AY26" s="328">
        <f>'W3'!N16</f>
        <v>0</v>
      </c>
      <c r="AZ26" s="328">
        <f>'W3'!O16</f>
        <v>0</v>
      </c>
      <c r="BA26" s="328">
        <f>'W3'!P16</f>
        <v>0</v>
      </c>
      <c r="BB26" s="328">
        <f>'W3'!Q16</f>
        <v>0</v>
      </c>
      <c r="BC26" s="328">
        <f>'W3'!R16</f>
        <v>0</v>
      </c>
      <c r="BD26" s="328">
        <f>'W3'!S16</f>
        <v>0</v>
      </c>
      <c r="BE26" s="328">
        <f>'W3'!T16</f>
        <v>0</v>
      </c>
      <c r="BF26" s="328">
        <f>'W3'!U16</f>
        <v>0</v>
      </c>
      <c r="BG26" s="328">
        <f>'W3'!V16</f>
        <v>0</v>
      </c>
      <c r="BH26" s="328">
        <f>'W3'!W16</f>
        <v>0</v>
      </c>
      <c r="BI26" s="328">
        <f>'W3'!X16</f>
        <v>0</v>
      </c>
      <c r="BJ26" s="328">
        <f>'W3'!Y16</f>
        <v>0</v>
      </c>
      <c r="BK26" s="328">
        <f>'W3'!Z16</f>
        <v>0</v>
      </c>
      <c r="BL26" s="328">
        <f>'W3'!AA16</f>
        <v>0</v>
      </c>
      <c r="BM26" s="328">
        <f>'W3'!AB16</f>
        <v>0</v>
      </c>
      <c r="BN26" s="328">
        <f>'W3'!AC16</f>
        <v>0</v>
      </c>
      <c r="BO26" s="328">
        <f>'W3'!AD16</f>
        <v>0</v>
      </c>
      <c r="BP26" s="328">
        <f>'W3'!AE16</f>
        <v>0</v>
      </c>
      <c r="BQ26" s="328">
        <f>'W3'!AF16</f>
        <v>0</v>
      </c>
      <c r="BR26" s="328">
        <f>'W3'!AG16</f>
        <v>0</v>
      </c>
      <c r="BS26" s="328">
        <f>'W3'!AH16</f>
        <v>0</v>
      </c>
      <c r="BT26" s="328">
        <f>'W3'!AI16</f>
        <v>0</v>
      </c>
      <c r="BU26" s="328">
        <f>'W3'!AJ16</f>
        <v>0</v>
      </c>
      <c r="BV26" s="192"/>
      <c r="BW26" s="219"/>
      <c r="BX26" s="219"/>
      <c r="BY26" s="219"/>
      <c r="BZ26" s="219"/>
      <c r="CA26" s="219"/>
      <c r="CB26" s="219"/>
      <c r="CC26" s="219"/>
      <c r="CD26" s="219"/>
      <c r="CE26" s="219"/>
      <c r="CF26" s="219"/>
      <c r="CG26" s="219"/>
      <c r="CH26" s="219"/>
      <c r="CI26" s="219"/>
      <c r="CJ26" s="219"/>
      <c r="CK26" s="219"/>
    </row>
    <row r="27" spans="1:89" s="215" customFormat="1" ht="14.25" customHeight="1">
      <c r="A27" s="400"/>
      <c r="B27" s="400"/>
      <c r="C27" s="266" t="s">
        <v>667</v>
      </c>
      <c r="D27" s="669" t="s">
        <v>79</v>
      </c>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377"/>
      <c r="AN27" s="330" t="s">
        <v>677</v>
      </c>
      <c r="AO27" s="516" t="s">
        <v>600</v>
      </c>
      <c r="AP27" s="309"/>
      <c r="AQ27" s="328" t="str">
        <f>IF(OR(ISBLANK(F9),ISBLANK('W3'!F16)),"N/A",IF((ROUND('W5'!AQ25,0)&lt;=ROUND('W5'!AQ26,0)),"ok","&lt;&gt;"))</f>
        <v>N/A</v>
      </c>
      <c r="AR27" s="328"/>
      <c r="AS27" s="328" t="str">
        <f>IF(OR(ISBLANK(H9),ISBLANK('W3'!H16)),"N/A",IF((ROUND('W5'!AS25,0)&lt;=ROUND('W5'!AS26,0)),"ok","&lt;&gt;"))</f>
        <v>N/A</v>
      </c>
      <c r="AT27" s="328"/>
      <c r="AU27" s="328" t="str">
        <f>IF(OR(ISBLANK(J9),ISBLANK('W3'!J16)),"N/A",IF((ROUND('W5'!AU25,0)&lt;=ROUND('W5'!AU26,0)),"ok","&lt;&gt;"))</f>
        <v>N/A</v>
      </c>
      <c r="AV27" s="328"/>
      <c r="AW27" s="328" t="str">
        <f>IF(OR(ISBLANK(L9),ISBLANK('W3'!L16)),"N/A",IF((ROUND('W5'!AW25,0)&lt;=ROUND('W5'!AW26,0)),"ok","&lt;&gt;"))</f>
        <v>N/A</v>
      </c>
      <c r="AX27" s="328"/>
      <c r="AY27" s="328" t="str">
        <f>IF(OR(ISBLANK(N9),ISBLANK('W3'!N16)),"N/A",IF((ROUND('W5'!AY25,0)&lt;=ROUND('W5'!AY26,0)),"ok","&lt;&gt;"))</f>
        <v>N/A</v>
      </c>
      <c r="AZ27" s="328"/>
      <c r="BA27" s="328" t="str">
        <f>IF(OR(ISBLANK(P9),ISBLANK('W3'!P16)),"N/A",IF((ROUND('W5'!BA25,0)&lt;=ROUND('W5'!BA26,0)),"ok","&lt;&gt;"))</f>
        <v>N/A</v>
      </c>
      <c r="BB27" s="328"/>
      <c r="BC27" s="328" t="str">
        <f>IF(OR(ISBLANK(R9),ISBLANK('W3'!R16)),"N/A",IF((ROUND('W5'!BC25,0)&lt;=ROUND('W5'!BC26,0)),"ok","&lt;&gt;"))</f>
        <v>N/A</v>
      </c>
      <c r="BD27" s="328"/>
      <c r="BE27" s="328" t="str">
        <f>IF(OR(ISBLANK(T9),ISBLANK('W3'!T16)),"N/A",IF((ROUND('W5'!BE25,0)&lt;=ROUND('W5'!BE26,0)),"ok","&lt;&gt;"))</f>
        <v>N/A</v>
      </c>
      <c r="BF27" s="328"/>
      <c r="BG27" s="328" t="str">
        <f>IF(OR(ISBLANK(V9),ISBLANK('W3'!V16)),"N/A",IF((ROUND('W5'!BG25,0)&lt;=ROUND('W5'!BG26,0)),"ok","&lt;&gt;"))</f>
        <v>N/A</v>
      </c>
      <c r="BH27" s="328"/>
      <c r="BI27" s="328" t="str">
        <f>IF(OR(ISBLANK(X9),ISBLANK('W3'!X16)),"N/A",IF((ROUND('W5'!BI25,0)&lt;=ROUND('W5'!BI26,0)),"ok","&lt;&gt;"))</f>
        <v>N/A</v>
      </c>
      <c r="BJ27" s="328"/>
      <c r="BK27" s="328" t="str">
        <f>IF(OR(ISBLANK(Z9),ISBLANK('W3'!Z16)),"N/A",IF((ROUND('W5'!BK25,0)&lt;=ROUND('W5'!BK26,0)),"ok","&lt;&gt;"))</f>
        <v>N/A</v>
      </c>
      <c r="BL27" s="328"/>
      <c r="BM27" s="328" t="str">
        <f>IF(OR(ISBLANK(AB9),ISBLANK('W3'!AB16)),"N/A",IF((ROUND('W5'!BM25,0)&lt;=ROUND('W5'!BM26,0)),"ok","&lt;&gt;"))</f>
        <v>N/A</v>
      </c>
      <c r="BN27" s="328"/>
      <c r="BO27" s="328" t="str">
        <f>IF(OR(ISBLANK(AD9),ISBLANK('W3'!AD16)),"N/A",IF((ROUND('W5'!BO25,0)&lt;=ROUND('W5'!BO26,0)),"ok","&lt;&gt;"))</f>
        <v>N/A</v>
      </c>
      <c r="BP27" s="328"/>
      <c r="BQ27" s="328" t="str">
        <f>IF(OR(ISBLANK(AF9),ISBLANK('W3'!AF16)),"N/A",IF((ROUND('W5'!BQ25,0)&lt;=ROUND('W5'!BQ26,0)),"ok","&lt;&gt;"))</f>
        <v>N/A</v>
      </c>
      <c r="BR27" s="328"/>
      <c r="BS27" s="328" t="str">
        <f>IF(OR(ISBLANK(AH9),ISBLANK('W3'!AH16)),"N/A",IF((ROUND('W5'!BS25,0)&lt;=ROUND('W5'!BS26,0)),"ok","&lt;&gt;"))</f>
        <v>N/A</v>
      </c>
      <c r="BT27" s="328"/>
      <c r="BU27" s="328" t="str">
        <f>IF(OR(ISBLANK(AJ9),ISBLANK('W3'!AJ16)),"N/A",IF((ROUND('W5'!BU25,0)&lt;=ROUND('W5'!BU26,0)),"ok","&lt;&gt;"))</f>
        <v>N/A</v>
      </c>
      <c r="BV27" s="192"/>
      <c r="BW27" s="219"/>
      <c r="BX27" s="219"/>
      <c r="BY27" s="219"/>
      <c r="BZ27" s="219"/>
      <c r="CA27" s="219"/>
      <c r="CB27" s="219"/>
      <c r="CC27" s="219"/>
      <c r="CD27" s="219"/>
      <c r="CE27" s="219"/>
      <c r="CF27" s="219"/>
      <c r="CG27" s="219"/>
      <c r="CH27" s="219"/>
      <c r="CI27" s="219"/>
      <c r="CJ27" s="219"/>
      <c r="CK27" s="219"/>
    </row>
    <row r="28" spans="1:89" s="215" customFormat="1" ht="23.25" customHeight="1">
      <c r="A28" s="400"/>
      <c r="B28" s="400"/>
      <c r="C28" s="266" t="s">
        <v>667</v>
      </c>
      <c r="D28" s="669" t="s">
        <v>48</v>
      </c>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377"/>
      <c r="AN28" s="60">
        <v>5</v>
      </c>
      <c r="AO28" s="314" t="s">
        <v>541</v>
      </c>
      <c r="AP28" s="60" t="s">
        <v>169</v>
      </c>
      <c r="AQ28" s="328">
        <f>F12</f>
        <v>0</v>
      </c>
      <c r="AR28" s="328"/>
      <c r="AS28" s="328">
        <f aca="true" t="shared" si="18" ref="AS28:BU28">H12</f>
        <v>0</v>
      </c>
      <c r="AT28" s="328"/>
      <c r="AU28" s="328">
        <f t="shared" si="18"/>
        <v>0</v>
      </c>
      <c r="AV28" s="328"/>
      <c r="AW28" s="328">
        <f t="shared" si="18"/>
        <v>0</v>
      </c>
      <c r="AX28" s="328"/>
      <c r="AY28" s="328">
        <f t="shared" si="18"/>
        <v>0</v>
      </c>
      <c r="AZ28" s="328"/>
      <c r="BA28" s="328">
        <f t="shared" si="18"/>
        <v>0</v>
      </c>
      <c r="BB28" s="328"/>
      <c r="BC28" s="328">
        <f t="shared" si="18"/>
        <v>0</v>
      </c>
      <c r="BD28" s="328"/>
      <c r="BE28" s="328">
        <f t="shared" si="18"/>
        <v>0</v>
      </c>
      <c r="BF28" s="328"/>
      <c r="BG28" s="328">
        <f t="shared" si="18"/>
        <v>0</v>
      </c>
      <c r="BH28" s="328"/>
      <c r="BI28" s="328">
        <f t="shared" si="18"/>
        <v>0</v>
      </c>
      <c r="BJ28" s="328"/>
      <c r="BK28" s="328">
        <f t="shared" si="18"/>
        <v>0</v>
      </c>
      <c r="BL28" s="328"/>
      <c r="BM28" s="328">
        <f t="shared" si="18"/>
        <v>0</v>
      </c>
      <c r="BN28" s="328"/>
      <c r="BO28" s="328">
        <f t="shared" si="18"/>
        <v>0</v>
      </c>
      <c r="BP28" s="328"/>
      <c r="BQ28" s="328">
        <f t="shared" si="18"/>
        <v>0</v>
      </c>
      <c r="BR28" s="328"/>
      <c r="BS28" s="328">
        <f t="shared" si="18"/>
        <v>0</v>
      </c>
      <c r="BT28" s="328"/>
      <c r="BU28" s="328">
        <f t="shared" si="18"/>
        <v>0</v>
      </c>
      <c r="BV28" s="192"/>
      <c r="BW28" s="219"/>
      <c r="BX28" s="219"/>
      <c r="BY28" s="219"/>
      <c r="BZ28" s="219"/>
      <c r="CA28" s="219"/>
      <c r="CB28" s="219"/>
      <c r="CC28" s="219"/>
      <c r="CD28" s="219"/>
      <c r="CE28" s="219"/>
      <c r="CF28" s="219"/>
      <c r="CG28" s="219"/>
      <c r="CH28" s="219"/>
      <c r="CI28" s="219"/>
      <c r="CJ28" s="219"/>
      <c r="CK28" s="219"/>
    </row>
    <row r="29" spans="1:89" s="215" customFormat="1" ht="13.5" customHeight="1">
      <c r="A29" s="400"/>
      <c r="B29" s="400"/>
      <c r="C29" s="266" t="s">
        <v>667</v>
      </c>
      <c r="D29" s="669" t="s">
        <v>49</v>
      </c>
      <c r="E29" s="669"/>
      <c r="F29" s="669"/>
      <c r="G29" s="669"/>
      <c r="H29" s="669"/>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377"/>
      <c r="AN29" s="59">
        <v>14</v>
      </c>
      <c r="AO29" s="516" t="s">
        <v>569</v>
      </c>
      <c r="AP29" s="60" t="s">
        <v>169</v>
      </c>
      <c r="AQ29" s="328">
        <f>F8-F9</f>
        <v>0</v>
      </c>
      <c r="AR29" s="328"/>
      <c r="AS29" s="328">
        <f aca="true" t="shared" si="19" ref="AS29:BU29">H8-H9</f>
        <v>0</v>
      </c>
      <c r="AT29" s="328"/>
      <c r="AU29" s="328">
        <f t="shared" si="19"/>
        <v>0</v>
      </c>
      <c r="AV29" s="328"/>
      <c r="AW29" s="328">
        <f t="shared" si="19"/>
        <v>0</v>
      </c>
      <c r="AX29" s="328"/>
      <c r="AY29" s="328">
        <f t="shared" si="19"/>
        <v>0</v>
      </c>
      <c r="AZ29" s="328"/>
      <c r="BA29" s="328">
        <f t="shared" si="19"/>
        <v>0</v>
      </c>
      <c r="BB29" s="328"/>
      <c r="BC29" s="328">
        <f t="shared" si="19"/>
        <v>0</v>
      </c>
      <c r="BD29" s="328"/>
      <c r="BE29" s="328">
        <f t="shared" si="19"/>
        <v>0</v>
      </c>
      <c r="BF29" s="328"/>
      <c r="BG29" s="328">
        <f t="shared" si="19"/>
        <v>0</v>
      </c>
      <c r="BH29" s="328"/>
      <c r="BI29" s="328">
        <f t="shared" si="19"/>
        <v>0</v>
      </c>
      <c r="BJ29" s="328"/>
      <c r="BK29" s="328">
        <f t="shared" si="19"/>
        <v>0</v>
      </c>
      <c r="BL29" s="328"/>
      <c r="BM29" s="328">
        <f t="shared" si="19"/>
        <v>0</v>
      </c>
      <c r="BN29" s="328"/>
      <c r="BO29" s="328">
        <f t="shared" si="19"/>
        <v>0</v>
      </c>
      <c r="BP29" s="328"/>
      <c r="BQ29" s="328">
        <f t="shared" si="19"/>
        <v>0</v>
      </c>
      <c r="BR29" s="328"/>
      <c r="BS29" s="328">
        <f t="shared" si="19"/>
        <v>0</v>
      </c>
      <c r="BT29" s="328"/>
      <c r="BU29" s="328">
        <f t="shared" si="19"/>
        <v>0</v>
      </c>
      <c r="BV29" s="192"/>
      <c r="BW29" s="219"/>
      <c r="BX29" s="219"/>
      <c r="BY29" s="219"/>
      <c r="BZ29" s="219"/>
      <c r="CA29" s="219"/>
      <c r="CB29" s="219"/>
      <c r="CC29" s="219"/>
      <c r="CD29" s="219"/>
      <c r="CE29" s="219"/>
      <c r="CF29" s="219"/>
      <c r="CG29" s="219"/>
      <c r="CH29" s="219"/>
      <c r="CI29" s="219"/>
      <c r="CJ29" s="219"/>
      <c r="CK29" s="219"/>
    </row>
    <row r="30" spans="1:89" ht="21" customHeight="1">
      <c r="A30" s="400"/>
      <c r="B30" s="400"/>
      <c r="C30" s="266"/>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724" t="str">
        <f>D14&amp;" (W5,6)"</f>
        <v>Ménages (W5,6)</v>
      </c>
      <c r="AG30" s="725"/>
      <c r="AH30" s="725"/>
      <c r="AI30" s="725"/>
      <c r="AJ30" s="725"/>
      <c r="AK30" s="726"/>
      <c r="AL30" s="273"/>
      <c r="AM30" s="372"/>
      <c r="AN30" s="468" t="s">
        <v>677</v>
      </c>
      <c r="AO30" s="467" t="s">
        <v>601</v>
      </c>
      <c r="AP30" s="60"/>
      <c r="AQ30" s="328" t="str">
        <f>IF(OR(ISBLANK(F8),ISBLANK(F9)),"N/A",IF((ROUND(AQ28,0)=ROUND(AQ29,0)),"ok","&lt;&gt;"))</f>
        <v>N/A</v>
      </c>
      <c r="AR30" s="328"/>
      <c r="AS30" s="328" t="str">
        <f aca="true" t="shared" si="20" ref="AS30:BU30">IF(OR(ISBLANK(H8),ISBLANK(H9)),"N/A",IF((ROUND(AS28,0)=ROUND(AS29,0)),"ok","&lt;&gt;"))</f>
        <v>N/A</v>
      </c>
      <c r="AT30" s="328"/>
      <c r="AU30" s="328" t="str">
        <f t="shared" si="20"/>
        <v>N/A</v>
      </c>
      <c r="AV30" s="328"/>
      <c r="AW30" s="328" t="str">
        <f t="shared" si="20"/>
        <v>N/A</v>
      </c>
      <c r="AX30" s="328"/>
      <c r="AY30" s="328" t="str">
        <f t="shared" si="20"/>
        <v>N/A</v>
      </c>
      <c r="AZ30" s="328"/>
      <c r="BA30" s="328" t="str">
        <f t="shared" si="20"/>
        <v>N/A</v>
      </c>
      <c r="BB30" s="328"/>
      <c r="BC30" s="328" t="str">
        <f t="shared" si="20"/>
        <v>N/A</v>
      </c>
      <c r="BD30" s="328"/>
      <c r="BE30" s="328" t="str">
        <f t="shared" si="20"/>
        <v>N/A</v>
      </c>
      <c r="BF30" s="328"/>
      <c r="BG30" s="328" t="str">
        <f t="shared" si="20"/>
        <v>N/A</v>
      </c>
      <c r="BH30" s="328"/>
      <c r="BI30" s="328" t="str">
        <f t="shared" si="20"/>
        <v>N/A</v>
      </c>
      <c r="BJ30" s="328"/>
      <c r="BK30" s="328" t="str">
        <f t="shared" si="20"/>
        <v>N/A</v>
      </c>
      <c r="BL30" s="328"/>
      <c r="BM30" s="328" t="str">
        <f t="shared" si="20"/>
        <v>N/A</v>
      </c>
      <c r="BN30" s="328"/>
      <c r="BO30" s="328" t="str">
        <f t="shared" si="20"/>
        <v>N/A</v>
      </c>
      <c r="BP30" s="328"/>
      <c r="BQ30" s="328" t="str">
        <f t="shared" si="20"/>
        <v>N/A</v>
      </c>
      <c r="BR30" s="328"/>
      <c r="BS30" s="328" t="str">
        <f t="shared" si="20"/>
        <v>N/A</v>
      </c>
      <c r="BT30" s="328"/>
      <c r="BU30" s="328" t="str">
        <f t="shared" si="20"/>
        <v>N/A</v>
      </c>
      <c r="BV30" s="192"/>
      <c r="BW30" s="14"/>
      <c r="BX30" s="14"/>
      <c r="BY30" s="14"/>
      <c r="BZ30" s="14"/>
      <c r="CA30" s="14"/>
      <c r="CB30" s="14"/>
      <c r="CC30" s="14"/>
      <c r="CD30" s="14"/>
      <c r="CE30" s="14"/>
      <c r="CF30" s="14"/>
      <c r="CG30" s="14"/>
      <c r="CH30" s="14"/>
      <c r="CI30" s="14"/>
      <c r="CJ30" s="14"/>
      <c r="CK30" s="14"/>
    </row>
    <row r="31" spans="1:89" ht="3.75" customHeight="1" hidden="1">
      <c r="A31" s="400"/>
      <c r="B31" s="400"/>
      <c r="C31" s="266"/>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372"/>
      <c r="AN31" s="60"/>
      <c r="AO31" s="415"/>
      <c r="AP31" s="60"/>
      <c r="AQ31" s="142"/>
      <c r="AR31" s="192"/>
      <c r="AS31" s="147"/>
      <c r="AT31" s="192"/>
      <c r="AU31" s="147"/>
      <c r="AV31" s="192"/>
      <c r="AW31" s="147"/>
      <c r="AX31" s="192"/>
      <c r="AY31" s="147"/>
      <c r="AZ31" s="192"/>
      <c r="BA31" s="142"/>
      <c r="BB31" s="192"/>
      <c r="BC31" s="142"/>
      <c r="BD31" s="192"/>
      <c r="BE31" s="142"/>
      <c r="BF31" s="192"/>
      <c r="BG31" s="142"/>
      <c r="BH31" s="192"/>
      <c r="BI31" s="142"/>
      <c r="BJ31" s="192"/>
      <c r="BK31" s="142"/>
      <c r="BL31" s="192"/>
      <c r="BM31" s="142"/>
      <c r="BN31" s="192"/>
      <c r="BO31" s="142"/>
      <c r="BP31" s="192"/>
      <c r="BQ31" s="142"/>
      <c r="BR31" s="192"/>
      <c r="BS31" s="142"/>
      <c r="BT31" s="192"/>
      <c r="BU31" s="142"/>
      <c r="BV31" s="192"/>
      <c r="BW31" s="14"/>
      <c r="BX31" s="14"/>
      <c r="BY31" s="14"/>
      <c r="BZ31" s="14"/>
      <c r="CA31" s="14"/>
      <c r="CB31" s="14"/>
      <c r="CC31" s="14"/>
      <c r="CD31" s="14"/>
      <c r="CE31" s="14"/>
      <c r="CF31" s="14"/>
      <c r="CG31" s="14"/>
      <c r="CH31" s="14"/>
      <c r="CI31" s="14"/>
      <c r="CJ31" s="14"/>
      <c r="CK31" s="14"/>
    </row>
    <row r="32" spans="1:89" ht="51.75" customHeight="1">
      <c r="A32" s="400"/>
      <c r="B32" s="400"/>
      <c r="C32" s="266"/>
      <c r="D32" s="72"/>
      <c r="E32" s="724" t="str">
        <f>D8&amp;" (W5,1)"</f>
        <v>Quantité brute d’eau douce fournie par les services d’alimentation en eau (Division 36 de la CITI) (W5,1)</v>
      </c>
      <c r="F32" s="725"/>
      <c r="G32" s="725"/>
      <c r="H32" s="726"/>
      <c r="I32" s="273"/>
      <c r="J32" s="273"/>
      <c r="K32" s="273"/>
      <c r="L32" s="273"/>
      <c r="M32" s="273"/>
      <c r="N32" s="273"/>
      <c r="O32" s="273"/>
      <c r="P32" s="273"/>
      <c r="Q32" s="273"/>
      <c r="R32" s="273"/>
      <c r="S32" s="273"/>
      <c r="T32" s="273"/>
      <c r="U32" s="273"/>
      <c r="V32" s="735" t="str">
        <f>LEFT(D12,LEN(D12)-21)&amp;" (W5,5)"</f>
        <v>Quantité nette d’eau douce fournie par les services d’alimentation en eau (Division 36 de la CITI) (W5,5)</v>
      </c>
      <c r="W32" s="736"/>
      <c r="X32" s="736"/>
      <c r="Y32" s="737"/>
      <c r="Z32" s="733" t="str">
        <f>D13</f>
        <v>Volume d’eau douce fourni aux destinataires ou aux fins des activités suivantes:</v>
      </c>
      <c r="AA32" s="734"/>
      <c r="AB32" s="734"/>
      <c r="AC32" s="734"/>
      <c r="AD32" s="273"/>
      <c r="AE32" s="273"/>
      <c r="AF32" s="724" t="str">
        <f>D15&amp;" (W5,7)"</f>
        <v>Agriculture, sylviculture et pêche 
(divisions 1 à 3 de la CITI) (W5,7)</v>
      </c>
      <c r="AG32" s="725"/>
      <c r="AH32" s="725"/>
      <c r="AI32" s="725"/>
      <c r="AJ32" s="725"/>
      <c r="AK32" s="726"/>
      <c r="AL32" s="273"/>
      <c r="AM32" s="372"/>
      <c r="AN32" s="476">
        <v>15</v>
      </c>
      <c r="AO32" s="467" t="s">
        <v>602</v>
      </c>
      <c r="AP32" s="60" t="s">
        <v>169</v>
      </c>
      <c r="AQ32" s="328">
        <f>F14+F15+F16+F17+F18</f>
        <v>0</v>
      </c>
      <c r="AR32" s="328"/>
      <c r="AS32" s="328">
        <f aca="true" t="shared" si="21" ref="AS32:BU32">H14+H15+H16+H17+H18</f>
        <v>0</v>
      </c>
      <c r="AT32" s="328"/>
      <c r="AU32" s="328">
        <f t="shared" si="21"/>
        <v>0</v>
      </c>
      <c r="AV32" s="328"/>
      <c r="AW32" s="328">
        <f t="shared" si="21"/>
        <v>0</v>
      </c>
      <c r="AX32" s="328"/>
      <c r="AY32" s="328">
        <f t="shared" si="21"/>
        <v>0</v>
      </c>
      <c r="AZ32" s="328"/>
      <c r="BA32" s="328">
        <f t="shared" si="21"/>
        <v>0</v>
      </c>
      <c r="BB32" s="328"/>
      <c r="BC32" s="328">
        <f t="shared" si="21"/>
        <v>0</v>
      </c>
      <c r="BD32" s="328"/>
      <c r="BE32" s="328">
        <f t="shared" si="21"/>
        <v>0</v>
      </c>
      <c r="BF32" s="328"/>
      <c r="BG32" s="328">
        <f t="shared" si="21"/>
        <v>0</v>
      </c>
      <c r="BH32" s="328"/>
      <c r="BI32" s="328">
        <f t="shared" si="21"/>
        <v>0</v>
      </c>
      <c r="BJ32" s="328"/>
      <c r="BK32" s="328">
        <f t="shared" si="21"/>
        <v>0</v>
      </c>
      <c r="BL32" s="328"/>
      <c r="BM32" s="328">
        <f t="shared" si="21"/>
        <v>0</v>
      </c>
      <c r="BN32" s="328"/>
      <c r="BO32" s="328">
        <f t="shared" si="21"/>
        <v>0</v>
      </c>
      <c r="BP32" s="328"/>
      <c r="BQ32" s="328">
        <f t="shared" si="21"/>
        <v>0</v>
      </c>
      <c r="BR32" s="328"/>
      <c r="BS32" s="328">
        <f t="shared" si="21"/>
        <v>0</v>
      </c>
      <c r="BT32" s="328"/>
      <c r="BU32" s="328">
        <f t="shared" si="21"/>
        <v>0</v>
      </c>
      <c r="BV32" s="192"/>
      <c r="BW32" s="14"/>
      <c r="BX32" s="14"/>
      <c r="BY32" s="14"/>
      <c r="BZ32" s="14"/>
      <c r="CA32" s="14"/>
      <c r="CB32" s="14"/>
      <c r="CC32" s="14"/>
      <c r="CD32" s="14"/>
      <c r="CE32" s="14"/>
      <c r="CF32" s="14"/>
      <c r="CG32" s="14"/>
      <c r="CH32" s="14"/>
      <c r="CI32" s="14"/>
      <c r="CJ32" s="14"/>
      <c r="CK32" s="14"/>
    </row>
    <row r="33" spans="1:89" ht="2.25" customHeight="1">
      <c r="A33" s="400"/>
      <c r="B33" s="400"/>
      <c r="C33" s="266"/>
      <c r="D33" s="72"/>
      <c r="E33" s="454"/>
      <c r="F33" s="273"/>
      <c r="G33" s="273"/>
      <c r="H33" s="273"/>
      <c r="I33" s="273"/>
      <c r="J33" s="273"/>
      <c r="K33" s="273"/>
      <c r="L33" s="273"/>
      <c r="M33" s="273"/>
      <c r="N33" s="273"/>
      <c r="O33" s="273"/>
      <c r="P33" s="273"/>
      <c r="Q33" s="273"/>
      <c r="R33" s="273"/>
      <c r="S33" s="273"/>
      <c r="T33" s="273"/>
      <c r="U33" s="273"/>
      <c r="V33" s="738"/>
      <c r="W33" s="739"/>
      <c r="X33" s="739"/>
      <c r="Y33" s="740"/>
      <c r="Z33" s="733"/>
      <c r="AA33" s="734"/>
      <c r="AB33" s="734"/>
      <c r="AC33" s="734"/>
      <c r="AD33" s="273"/>
      <c r="AE33" s="273"/>
      <c r="AF33" s="273"/>
      <c r="AG33" s="273"/>
      <c r="AH33" s="273"/>
      <c r="AI33" s="273"/>
      <c r="AJ33" s="273"/>
      <c r="AK33" s="273"/>
      <c r="AL33" s="273"/>
      <c r="AM33" s="372"/>
      <c r="AN33" s="60"/>
      <c r="AO33" s="415"/>
      <c r="AP33" s="60"/>
      <c r="AQ33" s="142"/>
      <c r="AR33" s="192"/>
      <c r="AS33" s="147"/>
      <c r="AT33" s="192"/>
      <c r="AU33" s="147"/>
      <c r="AV33" s="192"/>
      <c r="AW33" s="147"/>
      <c r="AX33" s="192"/>
      <c r="AY33" s="147"/>
      <c r="AZ33" s="192"/>
      <c r="BA33" s="142"/>
      <c r="BB33" s="192"/>
      <c r="BC33" s="142"/>
      <c r="BD33" s="192"/>
      <c r="BE33" s="142"/>
      <c r="BF33" s="192"/>
      <c r="BG33" s="142"/>
      <c r="BH33" s="192"/>
      <c r="BI33" s="142"/>
      <c r="BJ33" s="192"/>
      <c r="BK33" s="142"/>
      <c r="BL33" s="192"/>
      <c r="BM33" s="142"/>
      <c r="BN33" s="192"/>
      <c r="BO33" s="142"/>
      <c r="BP33" s="192"/>
      <c r="BQ33" s="142"/>
      <c r="BR33" s="192"/>
      <c r="BS33" s="142"/>
      <c r="BT33" s="192"/>
      <c r="BU33" s="142"/>
      <c r="BV33" s="192"/>
      <c r="BW33" s="14"/>
      <c r="BX33" s="14"/>
      <c r="BY33" s="14"/>
      <c r="BZ33" s="14"/>
      <c r="CA33" s="14"/>
      <c r="CB33" s="14"/>
      <c r="CC33" s="14"/>
      <c r="CD33" s="14"/>
      <c r="CE33" s="14"/>
      <c r="CF33" s="14"/>
      <c r="CG33" s="14"/>
      <c r="CH33" s="14"/>
      <c r="CI33" s="14"/>
      <c r="CJ33" s="14"/>
      <c r="CK33" s="14"/>
    </row>
    <row r="34" spans="1:89" ht="36.75" customHeight="1">
      <c r="A34" s="400"/>
      <c r="B34" s="400"/>
      <c r="C34" s="266"/>
      <c r="D34" s="454"/>
      <c r="E34" s="273"/>
      <c r="F34" s="273"/>
      <c r="G34" s="273"/>
      <c r="H34" s="273"/>
      <c r="I34" s="273"/>
      <c r="J34" s="273"/>
      <c r="K34" s="273"/>
      <c r="L34" s="273"/>
      <c r="M34" s="273"/>
      <c r="N34" s="273"/>
      <c r="O34" s="273"/>
      <c r="P34" s="273"/>
      <c r="Q34" s="273"/>
      <c r="R34" s="273"/>
      <c r="S34" s="273"/>
      <c r="T34" s="273"/>
      <c r="U34" s="273"/>
      <c r="V34" s="741"/>
      <c r="W34" s="742"/>
      <c r="X34" s="742"/>
      <c r="Y34" s="743"/>
      <c r="Z34" s="733"/>
      <c r="AA34" s="734"/>
      <c r="AB34" s="734"/>
      <c r="AC34" s="734"/>
      <c r="AD34" s="273"/>
      <c r="AE34" s="273"/>
      <c r="AF34" s="724" t="str">
        <f>D16&amp;" (W5,8)"</f>
        <v>Industrie (divisions 10 à 33 de la CITI) (W5,8)</v>
      </c>
      <c r="AG34" s="725"/>
      <c r="AH34" s="725"/>
      <c r="AI34" s="725"/>
      <c r="AJ34" s="725"/>
      <c r="AK34" s="726"/>
      <c r="AL34" s="273"/>
      <c r="AM34" s="372"/>
      <c r="AN34" s="468" t="s">
        <v>677</v>
      </c>
      <c r="AO34" s="467" t="s">
        <v>603</v>
      </c>
      <c r="AP34" s="60"/>
      <c r="AQ34" s="328" t="str">
        <f>IF(ISBLANK(F12),"N/A",IF(ROUND(AQ28,0)&lt;ROUND(AQ32,0),"5&lt;15",IF(OR(ISBLANK(F14),ISBLANK(F15),ISBLANK(F16),ISBLANK(F17)),"N/A",IF(ROUND(AQ28,0)=ROUND(AQ32,0),"ok","&lt;&gt;"))))</f>
        <v>N/A</v>
      </c>
      <c r="AR34" s="328"/>
      <c r="AS34" s="328" t="str">
        <f aca="true" t="shared" si="22" ref="AS34:BU34">IF(ISBLANK(H12),"N/A",IF(ROUND(AS28,0)&lt;ROUND(AS32,0),"5&lt;15",IF(OR(ISBLANK(H14),ISBLANK(H15),ISBLANK(H16),ISBLANK(H17)),"N/A",IF(ROUND(AS28,0)=ROUND(AS32,0),"ok","&lt;&gt;"))))</f>
        <v>N/A</v>
      </c>
      <c r="AT34" s="328"/>
      <c r="AU34" s="328" t="str">
        <f t="shared" si="22"/>
        <v>N/A</v>
      </c>
      <c r="AV34" s="328"/>
      <c r="AW34" s="328" t="str">
        <f t="shared" si="22"/>
        <v>N/A</v>
      </c>
      <c r="AX34" s="328"/>
      <c r="AY34" s="328" t="str">
        <f t="shared" si="22"/>
        <v>N/A</v>
      </c>
      <c r="AZ34" s="328"/>
      <c r="BA34" s="328" t="str">
        <f t="shared" si="22"/>
        <v>N/A</v>
      </c>
      <c r="BB34" s="328"/>
      <c r="BC34" s="328" t="str">
        <f t="shared" si="22"/>
        <v>N/A</v>
      </c>
      <c r="BD34" s="328"/>
      <c r="BE34" s="328" t="str">
        <f t="shared" si="22"/>
        <v>N/A</v>
      </c>
      <c r="BF34" s="328"/>
      <c r="BG34" s="328" t="str">
        <f t="shared" si="22"/>
        <v>N/A</v>
      </c>
      <c r="BH34" s="328"/>
      <c r="BI34" s="328" t="str">
        <f t="shared" si="22"/>
        <v>N/A</v>
      </c>
      <c r="BJ34" s="328"/>
      <c r="BK34" s="328" t="str">
        <f t="shared" si="22"/>
        <v>N/A</v>
      </c>
      <c r="BL34" s="328"/>
      <c r="BM34" s="328" t="str">
        <f t="shared" si="22"/>
        <v>N/A</v>
      </c>
      <c r="BN34" s="328"/>
      <c r="BO34" s="328" t="str">
        <f t="shared" si="22"/>
        <v>N/A</v>
      </c>
      <c r="BP34" s="328"/>
      <c r="BQ34" s="328" t="str">
        <f t="shared" si="22"/>
        <v>N/A</v>
      </c>
      <c r="BR34" s="328"/>
      <c r="BS34" s="328" t="str">
        <f t="shared" si="22"/>
        <v>N/A</v>
      </c>
      <c r="BT34" s="328"/>
      <c r="BU34" s="328" t="str">
        <f t="shared" si="22"/>
        <v>N/A</v>
      </c>
      <c r="BV34" s="192"/>
      <c r="BW34" s="14"/>
      <c r="BX34" s="14"/>
      <c r="BY34" s="14"/>
      <c r="BZ34" s="14"/>
      <c r="CA34" s="14"/>
      <c r="CB34" s="14"/>
      <c r="CC34" s="14"/>
      <c r="CD34" s="14"/>
      <c r="CE34" s="14"/>
      <c r="CF34" s="14"/>
      <c r="CG34" s="14"/>
      <c r="CH34" s="14"/>
      <c r="CI34" s="14"/>
      <c r="CJ34" s="14"/>
      <c r="CK34" s="14"/>
    </row>
    <row r="35" spans="1:89" ht="2.25" customHeight="1">
      <c r="A35" s="400"/>
      <c r="B35" s="400"/>
      <c r="C35" s="266"/>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372"/>
      <c r="AN35" s="60"/>
      <c r="AO35" s="314"/>
      <c r="AP35" s="60"/>
      <c r="AQ35" s="142"/>
      <c r="AR35" s="192"/>
      <c r="AS35" s="147"/>
      <c r="AT35" s="192"/>
      <c r="AU35" s="147"/>
      <c r="AV35" s="192"/>
      <c r="AW35" s="147"/>
      <c r="AX35" s="192"/>
      <c r="AY35" s="147"/>
      <c r="AZ35" s="192"/>
      <c r="BA35" s="142"/>
      <c r="BB35" s="192"/>
      <c r="BC35" s="142"/>
      <c r="BD35" s="192"/>
      <c r="BE35" s="142"/>
      <c r="BF35" s="192"/>
      <c r="BG35" s="142"/>
      <c r="BH35" s="192"/>
      <c r="BI35" s="142"/>
      <c r="BJ35" s="192"/>
      <c r="BK35" s="142"/>
      <c r="BL35" s="192"/>
      <c r="BM35" s="142"/>
      <c r="BN35" s="192"/>
      <c r="BO35" s="142"/>
      <c r="BP35" s="192"/>
      <c r="BQ35" s="142"/>
      <c r="BR35" s="192"/>
      <c r="BS35" s="142"/>
      <c r="BT35" s="192"/>
      <c r="BU35" s="142"/>
      <c r="BV35" s="192"/>
      <c r="BW35" s="14"/>
      <c r="BX35" s="14"/>
      <c r="BY35" s="14"/>
      <c r="BZ35" s="14"/>
      <c r="CA35" s="14"/>
      <c r="CB35" s="14"/>
      <c r="CC35" s="14"/>
      <c r="CD35" s="14"/>
      <c r="CE35" s="14"/>
      <c r="CF35" s="14"/>
      <c r="CG35" s="14"/>
      <c r="CH35" s="14"/>
      <c r="CI35" s="14"/>
      <c r="CJ35" s="14"/>
      <c r="CK35" s="14"/>
    </row>
    <row r="36" spans="1:89" ht="24" customHeight="1">
      <c r="A36" s="400"/>
      <c r="B36" s="400"/>
      <c r="C36" s="266"/>
      <c r="D36" s="273"/>
      <c r="E36" s="273"/>
      <c r="F36" s="273"/>
      <c r="G36" s="273"/>
      <c r="H36" s="273"/>
      <c r="I36" s="273"/>
      <c r="J36" s="273"/>
      <c r="K36" s="273"/>
      <c r="L36" s="273"/>
      <c r="M36" s="273"/>
      <c r="N36" s="273"/>
      <c r="O36" s="273"/>
      <c r="P36" s="273"/>
      <c r="Q36" s="273"/>
      <c r="S36" s="347"/>
      <c r="T36" s="347"/>
      <c r="U36" s="273"/>
      <c r="V36" s="273"/>
      <c r="W36" s="273"/>
      <c r="X36" s="273"/>
      <c r="Y36" s="273"/>
      <c r="Z36" s="273"/>
      <c r="AA36" s="273"/>
      <c r="AB36" s="273"/>
      <c r="AC36" s="273"/>
      <c r="AD36" s="273"/>
      <c r="AE36" s="273"/>
      <c r="AF36" s="724" t="str">
        <f>D17&amp;" (W5,9)"</f>
        <v>Industrie électrique (division 351 de la CITI) (W5,9)</v>
      </c>
      <c r="AG36" s="725"/>
      <c r="AH36" s="725"/>
      <c r="AI36" s="725"/>
      <c r="AJ36" s="725"/>
      <c r="AK36" s="726"/>
      <c r="AL36" s="273"/>
      <c r="AM36" s="372"/>
      <c r="AN36" s="483" t="s">
        <v>677</v>
      </c>
      <c r="AO36" s="494" t="s">
        <v>501</v>
      </c>
      <c r="AP36" s="492"/>
      <c r="AQ36" s="493" t="str">
        <f>IF(OR(ISBLANK(F20),ISBLANK(F21),ISBLANK(F22)),"N/A",IF(F20&lt;F22,"&lt;&gt;",IF(F20&gt;F21,"&lt;&gt;","ok")))</f>
        <v>N/A</v>
      </c>
      <c r="AR36" s="447"/>
      <c r="AS36" s="493" t="str">
        <f>IF(OR(ISBLANK(H20),ISBLANK(H21),ISBLANK(H22)),"N/A",IF(H20&lt;H22,"&lt;&gt;",IF(H20&gt;H21,"&lt;&gt;","ok")))</f>
        <v>N/A</v>
      </c>
      <c r="AT36" s="447"/>
      <c r="AU36" s="493" t="str">
        <f>IF(OR(ISBLANK(J20),ISBLANK(J21),ISBLANK(J22)),"N/A",IF(J20&lt;J22,"&lt;&gt;",IF(J20&gt;J21,"&lt;&gt;","ok")))</f>
        <v>N/A</v>
      </c>
      <c r="AV36" s="447"/>
      <c r="AW36" s="493" t="str">
        <f>IF(OR(ISBLANK(L20),ISBLANK(L21),ISBLANK(L22)),"N/A",IF(L20&lt;L22,"&lt;&gt;",IF(L20&gt;L21,"&lt;&gt;","ok")))</f>
        <v>N/A</v>
      </c>
      <c r="AX36" s="447"/>
      <c r="AY36" s="493" t="str">
        <f>IF(OR(ISBLANK(N20),ISBLANK(N21),ISBLANK(N22)),"N/A",IF(N20&lt;N22,"&lt;&gt;",IF(N20&gt;N21,"&lt;&gt;","ok")))</f>
        <v>N/A</v>
      </c>
      <c r="AZ36" s="447"/>
      <c r="BA36" s="493" t="str">
        <f>IF(OR(ISBLANK(P20),ISBLANK(P21),ISBLANK(P22)),"N/A",IF(P20&lt;P22,"&lt;&gt;",IF(P20&gt;P21,"&lt;&gt;","ok")))</f>
        <v>N/A</v>
      </c>
      <c r="BB36" s="447"/>
      <c r="BC36" s="493" t="str">
        <f>IF(OR(ISBLANK(R20),ISBLANK(R21),ISBLANK(R22)),"N/A",IF(R20&lt;R22,"&lt;&gt;",IF(R20&gt;R21,"&lt;&gt;","ok")))</f>
        <v>N/A</v>
      </c>
      <c r="BD36" s="447"/>
      <c r="BE36" s="493" t="str">
        <f>IF(OR(ISBLANK(T20),ISBLANK(T21),ISBLANK(T22)),"N/A",IF(T20&lt;T22,"&lt;&gt;",IF(T20&gt;T21,"&lt;&gt;","ok")))</f>
        <v>N/A</v>
      </c>
      <c r="BF36" s="447"/>
      <c r="BG36" s="493" t="str">
        <f>IF(OR(ISBLANK(V20),ISBLANK(V21),ISBLANK(V22)),"N/A",IF(V20&lt;V22,"&lt;&gt;",IF(V20&gt;V21,"&lt;&gt;","ok")))</f>
        <v>N/A</v>
      </c>
      <c r="BH36" s="447"/>
      <c r="BI36" s="493" t="str">
        <f>IF(OR(ISBLANK(X20),ISBLANK(X21),ISBLANK(X22)),"N/A",IF(X20&lt;X22,"&lt;&gt;",IF(X20&gt;X21,"&lt;&gt;","ok")))</f>
        <v>N/A</v>
      </c>
      <c r="BJ36" s="447"/>
      <c r="BK36" s="493" t="str">
        <f>IF(OR(ISBLANK(Z20),ISBLANK(Z21),ISBLANK(Z22)),"N/A",IF(Z20&lt;Z22,"&lt;&gt;",IF(Z20&gt;Z21,"&lt;&gt;","ok")))</f>
        <v>N/A</v>
      </c>
      <c r="BL36" s="447"/>
      <c r="BM36" s="493" t="str">
        <f>IF(OR(ISBLANK(AB20),ISBLANK(AB21),ISBLANK(AB22)),"N/A",IF(AB20&lt;AB22,"&lt;&gt;",IF(AB20&gt;AB21,"&lt;&gt;","ok")))</f>
        <v>N/A</v>
      </c>
      <c r="BN36" s="447"/>
      <c r="BO36" s="493" t="str">
        <f>IF(OR(ISBLANK(AD20),ISBLANK(AD21),ISBLANK(AD22)),"N/A",IF(AD20&lt;AD22,"&lt;&gt;",IF(AD20&gt;AD21,"&lt;&gt;","ok")))</f>
        <v>N/A</v>
      </c>
      <c r="BP36" s="447"/>
      <c r="BQ36" s="493" t="str">
        <f>IF(OR(ISBLANK(AF20),ISBLANK(AF21),ISBLANK(AF22)),"N/A",IF(AF20&lt;AF22,"&lt;&gt;",IF(AF20&gt;AF21,"&lt;&gt;","ok")))</f>
        <v>N/A</v>
      </c>
      <c r="BR36" s="447"/>
      <c r="BS36" s="493" t="str">
        <f>IF(OR(ISBLANK(AH20),ISBLANK(AH21),ISBLANK(AH22)),"N/A",IF(AH20&lt;AH22,"&lt;&gt;",IF(AH20&gt;AH21,"&lt;&gt;","ok")))</f>
        <v>N/A</v>
      </c>
      <c r="BT36" s="447"/>
      <c r="BU36" s="493" t="str">
        <f>IF(OR(ISBLANK(AJ20),ISBLANK(AJ21),ISBLANK(AJ22)),"N/A",IF(AJ20&lt;AJ22,"&lt;&gt;",IF(AJ20&gt;AJ21,"&lt;&gt;","ok")))</f>
        <v>N/A</v>
      </c>
      <c r="BV36" s="447"/>
      <c r="BW36" s="14"/>
      <c r="BX36" s="14"/>
      <c r="BY36" s="14"/>
      <c r="BZ36" s="14"/>
      <c r="CA36" s="14"/>
      <c r="CB36" s="14"/>
      <c r="CC36" s="14"/>
      <c r="CD36" s="14"/>
      <c r="CE36" s="14"/>
      <c r="CF36" s="14"/>
      <c r="CG36" s="14"/>
      <c r="CH36" s="14"/>
      <c r="CI36" s="14"/>
      <c r="CJ36" s="14"/>
      <c r="CK36" s="14"/>
    </row>
    <row r="37" spans="1:89" ht="2.25" customHeight="1">
      <c r="A37" s="400"/>
      <c r="B37" s="400"/>
      <c r="C37" s="266"/>
      <c r="D37" s="273"/>
      <c r="E37" s="273"/>
      <c r="F37" s="273"/>
      <c r="G37" s="273"/>
      <c r="H37" s="273"/>
      <c r="I37" s="273"/>
      <c r="J37" s="273"/>
      <c r="K37" s="273"/>
      <c r="L37" s="273"/>
      <c r="M37" s="273"/>
      <c r="N37" s="273"/>
      <c r="O37" s="273"/>
      <c r="P37" s="273"/>
      <c r="Q37" s="273"/>
      <c r="R37" s="727" t="str">
        <f>D9&amp;" (W5,2)"</f>
        <v>Pertes d’eau douce survenues en cours de transport par CITI 36 (W5,2)</v>
      </c>
      <c r="S37" s="728"/>
      <c r="T37" s="728"/>
      <c r="U37" s="728"/>
      <c r="V37" s="729"/>
      <c r="W37" s="273"/>
      <c r="X37" s="273"/>
      <c r="Y37" s="273"/>
      <c r="Z37" s="273"/>
      <c r="AA37" s="273"/>
      <c r="AB37" s="273"/>
      <c r="AC37" s="273"/>
      <c r="AD37" s="273"/>
      <c r="AE37" s="273"/>
      <c r="AF37" s="273"/>
      <c r="AG37" s="273"/>
      <c r="AH37" s="273"/>
      <c r="AI37" s="273"/>
      <c r="AJ37" s="273"/>
      <c r="AK37" s="273"/>
      <c r="AL37" s="273"/>
      <c r="AM37" s="372"/>
      <c r="AN37" s="449" t="s">
        <v>616</v>
      </c>
      <c r="AO37" s="478" t="s">
        <v>617</v>
      </c>
      <c r="AP37" s="386"/>
      <c r="AQ37" s="322"/>
      <c r="AR37" s="387"/>
      <c r="AS37" s="323"/>
      <c r="AT37" s="387"/>
      <c r="AU37" s="323"/>
      <c r="AV37" s="387"/>
      <c r="AW37" s="323"/>
      <c r="AX37" s="387"/>
      <c r="AY37" s="323"/>
      <c r="AZ37" s="387"/>
      <c r="BA37" s="322"/>
      <c r="BB37" s="387"/>
      <c r="BC37" s="322"/>
      <c r="BD37" s="387"/>
      <c r="BE37" s="322"/>
      <c r="BF37" s="387"/>
      <c r="BG37" s="322"/>
      <c r="BH37" s="387"/>
      <c r="BI37" s="322"/>
      <c r="BJ37" s="387"/>
      <c r="BK37" s="322"/>
      <c r="BL37" s="387"/>
      <c r="BM37" s="322"/>
      <c r="BN37" s="387"/>
      <c r="BO37" s="322"/>
      <c r="BP37" s="387"/>
      <c r="BQ37" s="322"/>
      <c r="BR37" s="387"/>
      <c r="BS37" s="322"/>
      <c r="BT37" s="387"/>
      <c r="BU37" s="322"/>
      <c r="BV37" s="387"/>
      <c r="BW37" s="14"/>
      <c r="BX37" s="14"/>
      <c r="BY37" s="14"/>
      <c r="BZ37" s="14"/>
      <c r="CA37" s="14"/>
      <c r="CB37" s="14"/>
      <c r="CC37" s="14"/>
      <c r="CD37" s="14"/>
      <c r="CE37" s="14"/>
      <c r="CF37" s="14"/>
      <c r="CG37" s="14"/>
      <c r="CH37" s="14"/>
      <c r="CI37" s="14"/>
      <c r="CJ37" s="14"/>
      <c r="CK37" s="14"/>
    </row>
    <row r="38" spans="1:89" ht="36.75" customHeight="1">
      <c r="A38" s="400"/>
      <c r="B38" s="400"/>
      <c r="C38" s="266"/>
      <c r="D38" s="273"/>
      <c r="E38" s="273"/>
      <c r="F38" s="273"/>
      <c r="G38" s="273"/>
      <c r="H38" s="273"/>
      <c r="I38" s="273"/>
      <c r="J38" s="273"/>
      <c r="K38" s="273"/>
      <c r="L38" s="273"/>
      <c r="M38" s="273"/>
      <c r="N38" s="273"/>
      <c r="O38" s="273"/>
      <c r="P38" s="273"/>
      <c r="Q38" s="273"/>
      <c r="R38" s="730"/>
      <c r="S38" s="731"/>
      <c r="T38" s="731"/>
      <c r="U38" s="731"/>
      <c r="V38" s="732"/>
      <c r="W38" s="273"/>
      <c r="X38" s="273"/>
      <c r="Y38" s="273"/>
      <c r="Z38" s="273"/>
      <c r="AA38" s="273"/>
      <c r="AB38" s="273"/>
      <c r="AC38" s="273"/>
      <c r="AD38" s="273"/>
      <c r="AE38" s="273"/>
      <c r="AF38" s="724" t="str">
        <f>D18&amp;" (W5,10)"</f>
        <v>Autres activités ou agents économiques (W5,10)</v>
      </c>
      <c r="AG38" s="725"/>
      <c r="AH38" s="725"/>
      <c r="AI38" s="725"/>
      <c r="AJ38" s="725"/>
      <c r="AK38" s="726"/>
      <c r="AL38" s="273"/>
      <c r="AM38" s="372"/>
      <c r="AN38" s="449" t="s">
        <v>618</v>
      </c>
      <c r="AO38" s="478" t="s">
        <v>619</v>
      </c>
      <c r="AP38" s="386"/>
      <c r="AQ38" s="322"/>
      <c r="AR38" s="387"/>
      <c r="AS38" s="323"/>
      <c r="AT38" s="387"/>
      <c r="AU38" s="323"/>
      <c r="AV38" s="387"/>
      <c r="AW38" s="323"/>
      <c r="AX38" s="387"/>
      <c r="AY38" s="323"/>
      <c r="AZ38" s="387"/>
      <c r="BA38" s="322"/>
      <c r="BB38" s="387"/>
      <c r="BC38" s="322"/>
      <c r="BD38" s="387"/>
      <c r="BE38" s="322"/>
      <c r="BF38" s="387"/>
      <c r="BG38" s="322"/>
      <c r="BH38" s="387"/>
      <c r="BI38" s="322"/>
      <c r="BJ38" s="387"/>
      <c r="BK38" s="322"/>
      <c r="BL38" s="387"/>
      <c r="BM38" s="322"/>
      <c r="BN38" s="387"/>
      <c r="BO38" s="322"/>
      <c r="BP38" s="387"/>
      <c r="BQ38" s="322"/>
      <c r="BR38" s="387"/>
      <c r="BS38" s="322"/>
      <c r="BT38" s="387"/>
      <c r="BU38" s="322"/>
      <c r="BV38" s="387"/>
      <c r="BW38" s="14"/>
      <c r="BX38" s="14"/>
      <c r="BY38" s="14"/>
      <c r="BZ38" s="14"/>
      <c r="CA38" s="14"/>
      <c r="CB38" s="14"/>
      <c r="CC38" s="14"/>
      <c r="CD38" s="14"/>
      <c r="CE38" s="14"/>
      <c r="CF38" s="14"/>
      <c r="CG38" s="14"/>
      <c r="CH38" s="14"/>
      <c r="CI38" s="14"/>
      <c r="CJ38" s="14"/>
      <c r="CK38" s="14"/>
    </row>
    <row r="39" spans="1:74" s="24" customFormat="1" ht="18" customHeight="1">
      <c r="A39" s="424"/>
      <c r="B39" s="398"/>
      <c r="C39" s="278"/>
      <c r="D39" s="744"/>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s="744"/>
      <c r="AI39" s="744"/>
      <c r="AJ39" s="744"/>
      <c r="AK39" s="744"/>
      <c r="AL39" s="744"/>
      <c r="AM39" s="432"/>
      <c r="AN39" s="449" t="s">
        <v>621</v>
      </c>
      <c r="AO39" s="478" t="s">
        <v>623</v>
      </c>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row>
    <row r="40" spans="1:74" s="50" customFormat="1" ht="15.75">
      <c r="A40" s="401"/>
      <c r="B40" s="406">
        <v>2</v>
      </c>
      <c r="C40" s="119" t="s">
        <v>50</v>
      </c>
      <c r="D40" s="121"/>
      <c r="E40" s="119"/>
      <c r="F40" s="117"/>
      <c r="G40" s="162"/>
      <c r="H40" s="182"/>
      <c r="I40" s="166"/>
      <c r="J40" s="182"/>
      <c r="K40" s="166"/>
      <c r="L40" s="182"/>
      <c r="M40" s="166"/>
      <c r="N40" s="182"/>
      <c r="O40" s="166"/>
      <c r="P40" s="182"/>
      <c r="Q40" s="162"/>
      <c r="R40" s="182"/>
      <c r="S40" s="162"/>
      <c r="T40" s="182"/>
      <c r="U40" s="162"/>
      <c r="V40" s="182"/>
      <c r="W40" s="162"/>
      <c r="X40" s="182"/>
      <c r="Y40" s="162"/>
      <c r="Z40" s="189"/>
      <c r="AA40" s="162"/>
      <c r="AB40" s="182"/>
      <c r="AC40" s="166"/>
      <c r="AD40" s="182"/>
      <c r="AE40" s="162"/>
      <c r="AF40" s="182"/>
      <c r="AG40" s="162"/>
      <c r="AH40" s="182"/>
      <c r="AI40" s="234"/>
      <c r="AJ40" s="194"/>
      <c r="AK40" s="557"/>
      <c r="AL40" s="557"/>
      <c r="AM40" s="419"/>
      <c r="AN40" s="451" t="s">
        <v>620</v>
      </c>
      <c r="AO40" s="478" t="s">
        <v>533</v>
      </c>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row>
    <row r="41" spans="3:40" ht="2.25" customHeight="1">
      <c r="C41" s="45"/>
      <c r="D41" s="45"/>
      <c r="E41" s="46"/>
      <c r="F41" s="13"/>
      <c r="G41" s="169"/>
      <c r="H41" s="188"/>
      <c r="I41" s="171"/>
      <c r="J41" s="188"/>
      <c r="K41" s="171"/>
      <c r="L41" s="188"/>
      <c r="M41" s="171"/>
      <c r="N41" s="188"/>
      <c r="O41" s="171"/>
      <c r="P41" s="188"/>
      <c r="Q41" s="169"/>
      <c r="R41" s="188"/>
      <c r="S41" s="169"/>
      <c r="T41" s="188"/>
      <c r="U41" s="169"/>
      <c r="V41" s="188"/>
      <c r="W41" s="169"/>
      <c r="X41" s="188"/>
      <c r="Y41" s="169"/>
      <c r="Z41" s="190"/>
      <c r="AA41" s="169"/>
      <c r="AB41" s="188"/>
      <c r="AC41" s="171"/>
      <c r="AD41" s="188"/>
      <c r="AE41" s="169"/>
      <c r="AF41" s="183"/>
      <c r="AG41" s="163"/>
      <c r="AH41" s="183"/>
      <c r="AI41" s="161"/>
      <c r="AJ41" s="177"/>
      <c r="AK41" s="80"/>
      <c r="AL41" s="80"/>
      <c r="AN41" s="414"/>
    </row>
    <row r="42" spans="3:40" ht="18" customHeight="1">
      <c r="C42" s="73" t="s">
        <v>168</v>
      </c>
      <c r="D42" s="686" t="s">
        <v>51</v>
      </c>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687"/>
      <c r="AL42" s="688"/>
      <c r="AM42" s="251"/>
      <c r="AN42" s="414"/>
    </row>
    <row r="43" spans="3:40" ht="18" customHeight="1">
      <c r="C43" s="522"/>
      <c r="D43" s="701"/>
      <c r="E43" s="702"/>
      <c r="F43" s="702"/>
      <c r="G43" s="702"/>
      <c r="H43" s="702"/>
      <c r="I43" s="702"/>
      <c r="J43" s="702"/>
      <c r="K43" s="702"/>
      <c r="L43" s="702"/>
      <c r="M43" s="702"/>
      <c r="N43" s="702"/>
      <c r="O43" s="702"/>
      <c r="P43" s="702"/>
      <c r="Q43" s="702"/>
      <c r="R43" s="702"/>
      <c r="S43" s="702"/>
      <c r="T43" s="702"/>
      <c r="U43" s="702"/>
      <c r="V43" s="702"/>
      <c r="W43" s="702"/>
      <c r="X43" s="702"/>
      <c r="Y43" s="702"/>
      <c r="Z43" s="702"/>
      <c r="AA43" s="702"/>
      <c r="AB43" s="702"/>
      <c r="AC43" s="702"/>
      <c r="AD43" s="702"/>
      <c r="AE43" s="702"/>
      <c r="AF43" s="702"/>
      <c r="AG43" s="702"/>
      <c r="AH43" s="702"/>
      <c r="AI43" s="702"/>
      <c r="AJ43" s="702"/>
      <c r="AK43" s="702"/>
      <c r="AL43" s="703"/>
      <c r="AM43" s="378"/>
      <c r="AN43" s="414"/>
    </row>
    <row r="44" spans="3:40" ht="18" customHeight="1">
      <c r="C44" s="522"/>
      <c r="D44" s="691"/>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9"/>
      <c r="AM44" s="378"/>
      <c r="AN44" s="414"/>
    </row>
    <row r="45" spans="3:40" ht="21.75" customHeight="1">
      <c r="C45" s="522"/>
      <c r="D45" s="691"/>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9"/>
      <c r="AM45" s="378"/>
      <c r="AN45" s="414"/>
    </row>
    <row r="46" spans="3:40" ht="18" customHeight="1">
      <c r="C46" s="522"/>
      <c r="D46" s="691"/>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9"/>
      <c r="AM46" s="378"/>
      <c r="AN46" s="414"/>
    </row>
    <row r="47" spans="3:40" ht="18" customHeight="1">
      <c r="C47" s="522"/>
      <c r="D47" s="691"/>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9"/>
      <c r="AM47" s="378"/>
      <c r="AN47" s="414"/>
    </row>
    <row r="48" spans="3:40" ht="18" customHeight="1">
      <c r="C48" s="522"/>
      <c r="D48" s="691"/>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9"/>
      <c r="AM48" s="378"/>
      <c r="AN48" s="414"/>
    </row>
    <row r="49" spans="3:40" ht="18" customHeight="1">
      <c r="C49" s="522"/>
      <c r="D49" s="691"/>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9"/>
      <c r="AM49" s="378"/>
      <c r="AN49" s="414"/>
    </row>
    <row r="50" spans="3:40" ht="18" customHeight="1">
      <c r="C50" s="522"/>
      <c r="D50" s="691"/>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9"/>
      <c r="AM50" s="378"/>
      <c r="AN50" s="414"/>
    </row>
    <row r="51" spans="3:74" ht="18" customHeight="1">
      <c r="C51" s="522"/>
      <c r="D51" s="691"/>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9"/>
      <c r="AM51" s="378"/>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row>
    <row r="52" spans="3:74" ht="18" customHeight="1">
      <c r="C52" s="522"/>
      <c r="D52" s="691"/>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9"/>
      <c r="AM52" s="378"/>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row>
    <row r="53" spans="3:74" ht="18" customHeight="1">
      <c r="C53" s="522"/>
      <c r="D53" s="691"/>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9"/>
      <c r="AM53" s="378"/>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row>
    <row r="54" spans="3:39" ht="18" customHeight="1">
      <c r="C54" s="522"/>
      <c r="D54" s="691"/>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9"/>
      <c r="AM54" s="378"/>
    </row>
    <row r="55" spans="3:39" ht="18" customHeight="1">
      <c r="C55" s="522"/>
      <c r="D55" s="691"/>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3"/>
      <c r="AK55" s="693"/>
      <c r="AL55" s="699"/>
      <c r="AM55" s="378"/>
    </row>
    <row r="56" spans="3:39" ht="18" customHeight="1">
      <c r="C56" s="522"/>
      <c r="D56" s="691"/>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3"/>
      <c r="AL56" s="699"/>
      <c r="AM56" s="378"/>
    </row>
    <row r="57" spans="3:39" ht="18" customHeight="1">
      <c r="C57" s="522"/>
      <c r="D57" s="691"/>
      <c r="E57" s="693"/>
      <c r="F57" s="693"/>
      <c r="G57" s="693"/>
      <c r="H57" s="693"/>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c r="AH57" s="693"/>
      <c r="AI57" s="693"/>
      <c r="AJ57" s="693"/>
      <c r="AK57" s="693"/>
      <c r="AL57" s="699"/>
      <c r="AM57" s="378"/>
    </row>
    <row r="58" spans="3:39" ht="18" customHeight="1">
      <c r="C58" s="522"/>
      <c r="D58" s="691"/>
      <c r="E58" s="693"/>
      <c r="F58" s="693"/>
      <c r="G58" s="693"/>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c r="AH58" s="693"/>
      <c r="AI58" s="693"/>
      <c r="AJ58" s="693"/>
      <c r="AK58" s="693"/>
      <c r="AL58" s="699"/>
      <c r="AM58" s="378"/>
    </row>
    <row r="59" spans="3:39" ht="18" customHeight="1">
      <c r="C59" s="522"/>
      <c r="D59" s="691"/>
      <c r="E59" s="693"/>
      <c r="F59" s="693"/>
      <c r="G59" s="693"/>
      <c r="H59" s="693"/>
      <c r="I59" s="693"/>
      <c r="J59" s="693"/>
      <c r="K59" s="693"/>
      <c r="L59" s="693"/>
      <c r="M59" s="693"/>
      <c r="N59" s="693"/>
      <c r="O59" s="693"/>
      <c r="P59" s="693"/>
      <c r="Q59" s="693"/>
      <c r="R59" s="693"/>
      <c r="S59" s="693"/>
      <c r="T59" s="693"/>
      <c r="U59" s="693"/>
      <c r="V59" s="693"/>
      <c r="W59" s="693"/>
      <c r="X59" s="693"/>
      <c r="Y59" s="693"/>
      <c r="Z59" s="693"/>
      <c r="AA59" s="693"/>
      <c r="AB59" s="693"/>
      <c r="AC59" s="693"/>
      <c r="AD59" s="693"/>
      <c r="AE59" s="693"/>
      <c r="AF59" s="693"/>
      <c r="AG59" s="693"/>
      <c r="AH59" s="693"/>
      <c r="AI59" s="693"/>
      <c r="AJ59" s="693"/>
      <c r="AK59" s="693"/>
      <c r="AL59" s="699"/>
      <c r="AM59" s="378"/>
    </row>
    <row r="60" spans="3:39" ht="18" customHeight="1">
      <c r="C60" s="522"/>
      <c r="D60" s="691"/>
      <c r="E60" s="693"/>
      <c r="F60" s="693"/>
      <c r="G60" s="693"/>
      <c r="H60" s="693"/>
      <c r="I60" s="693"/>
      <c r="J60" s="693"/>
      <c r="K60" s="693"/>
      <c r="L60" s="693"/>
      <c r="M60" s="693"/>
      <c r="N60" s="693"/>
      <c r="O60" s="693"/>
      <c r="P60" s="693"/>
      <c r="Q60" s="693"/>
      <c r="R60" s="693"/>
      <c r="S60" s="693"/>
      <c r="T60" s="693"/>
      <c r="U60" s="693"/>
      <c r="V60" s="693"/>
      <c r="W60" s="693"/>
      <c r="X60" s="693"/>
      <c r="Y60" s="693"/>
      <c r="Z60" s="693"/>
      <c r="AA60" s="693"/>
      <c r="AB60" s="693"/>
      <c r="AC60" s="693"/>
      <c r="AD60" s="693"/>
      <c r="AE60" s="693"/>
      <c r="AF60" s="693"/>
      <c r="AG60" s="693"/>
      <c r="AH60" s="693"/>
      <c r="AI60" s="693"/>
      <c r="AJ60" s="693"/>
      <c r="AK60" s="693"/>
      <c r="AL60" s="699"/>
      <c r="AM60" s="378"/>
    </row>
    <row r="61" spans="3:39" ht="18" customHeight="1">
      <c r="C61" s="522"/>
      <c r="D61" s="691"/>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c r="AH61" s="693"/>
      <c r="AI61" s="693"/>
      <c r="AJ61" s="693"/>
      <c r="AK61" s="693"/>
      <c r="AL61" s="699"/>
      <c r="AM61" s="378"/>
    </row>
    <row r="62" spans="3:39" ht="18" customHeight="1">
      <c r="C62" s="522"/>
      <c r="D62" s="691"/>
      <c r="E62" s="693"/>
      <c r="F62" s="693"/>
      <c r="G62" s="693"/>
      <c r="H62" s="693"/>
      <c r="I62" s="693"/>
      <c r="J62" s="693"/>
      <c r="K62" s="693"/>
      <c r="L62" s="693"/>
      <c r="M62" s="693"/>
      <c r="N62" s="693"/>
      <c r="O62" s="693"/>
      <c r="P62" s="693"/>
      <c r="Q62" s="693"/>
      <c r="R62" s="693"/>
      <c r="S62" s="693"/>
      <c r="T62" s="693"/>
      <c r="U62" s="693"/>
      <c r="V62" s="693"/>
      <c r="W62" s="693"/>
      <c r="X62" s="693"/>
      <c r="Y62" s="693"/>
      <c r="Z62" s="693"/>
      <c r="AA62" s="693"/>
      <c r="AB62" s="693"/>
      <c r="AC62" s="693"/>
      <c r="AD62" s="693"/>
      <c r="AE62" s="693"/>
      <c r="AF62" s="693"/>
      <c r="AG62" s="693"/>
      <c r="AH62" s="693"/>
      <c r="AI62" s="693"/>
      <c r="AJ62" s="693"/>
      <c r="AK62" s="693"/>
      <c r="AL62" s="699"/>
      <c r="AM62" s="378"/>
    </row>
    <row r="63" spans="3:39" ht="18" customHeight="1">
      <c r="C63" s="523"/>
      <c r="D63" s="691"/>
      <c r="E63" s="693"/>
      <c r="F63" s="693"/>
      <c r="G63" s="693"/>
      <c r="H63" s="693"/>
      <c r="I63" s="693"/>
      <c r="J63" s="693"/>
      <c r="K63" s="693"/>
      <c r="L63" s="693"/>
      <c r="M63" s="693"/>
      <c r="N63" s="693"/>
      <c r="O63" s="693"/>
      <c r="P63" s="693"/>
      <c r="Q63" s="693"/>
      <c r="R63" s="693"/>
      <c r="S63" s="693"/>
      <c r="T63" s="693"/>
      <c r="U63" s="693"/>
      <c r="V63" s="693"/>
      <c r="W63" s="693"/>
      <c r="X63" s="693"/>
      <c r="Y63" s="693"/>
      <c r="Z63" s="693"/>
      <c r="AA63" s="693"/>
      <c r="AB63" s="693"/>
      <c r="AC63" s="693"/>
      <c r="AD63" s="693"/>
      <c r="AE63" s="693"/>
      <c r="AF63" s="693"/>
      <c r="AG63" s="693"/>
      <c r="AH63" s="693"/>
      <c r="AI63" s="693"/>
      <c r="AJ63" s="693"/>
      <c r="AK63" s="693"/>
      <c r="AL63" s="699"/>
      <c r="AM63" s="378"/>
    </row>
    <row r="64" spans="3:39" ht="18" customHeight="1">
      <c r="C64" s="524"/>
      <c r="D64" s="697"/>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c r="AE64" s="698"/>
      <c r="AF64" s="698"/>
      <c r="AG64" s="698"/>
      <c r="AH64" s="698"/>
      <c r="AI64" s="698"/>
      <c r="AJ64" s="698"/>
      <c r="AK64" s="698"/>
      <c r="AL64" s="700"/>
      <c r="AM64" s="378"/>
    </row>
    <row r="65" spans="1:74" s="14" customFormat="1" ht="10.5" customHeight="1">
      <c r="A65" s="427"/>
      <c r="B65" s="408"/>
      <c r="C65" s="50"/>
      <c r="D65" s="50"/>
      <c r="E65"/>
      <c r="F65" s="8"/>
      <c r="G65" s="8"/>
      <c r="H65" s="161"/>
      <c r="I65" s="177"/>
      <c r="J65" s="165"/>
      <c r="K65" s="177"/>
      <c r="L65" s="165"/>
      <c r="M65" s="177"/>
      <c r="N65" s="165"/>
      <c r="O65" s="177"/>
      <c r="P65" s="165"/>
      <c r="Q65" s="177"/>
      <c r="R65" s="161"/>
      <c r="S65" s="177"/>
      <c r="T65" s="161"/>
      <c r="U65" s="177"/>
      <c r="V65" s="161"/>
      <c r="W65" s="177"/>
      <c r="X65" s="161"/>
      <c r="Y65" s="177"/>
      <c r="Z65" s="161"/>
      <c r="AA65" s="191"/>
      <c r="AB65" s="161"/>
      <c r="AC65" s="177"/>
      <c r="AD65" s="165"/>
      <c r="AE65" s="177"/>
      <c r="AF65" s="161"/>
      <c r="AG65" s="177"/>
      <c r="AH65" s="161"/>
      <c r="AI65" s="183"/>
      <c r="AJ65" s="163"/>
      <c r="AK65" s="183"/>
      <c r="AM65" s="251"/>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row>
    <row r="66" spans="1:74" s="14" customFormat="1" ht="12.75">
      <c r="A66" s="427"/>
      <c r="B66" s="408"/>
      <c r="C66" s="50"/>
      <c r="D66" s="50"/>
      <c r="E66"/>
      <c r="F66" s="8"/>
      <c r="G66" s="8"/>
      <c r="H66" s="161"/>
      <c r="I66" s="177"/>
      <c r="J66" s="165"/>
      <c r="K66" s="177"/>
      <c r="L66" s="165"/>
      <c r="M66" s="177"/>
      <c r="N66" s="165"/>
      <c r="O66" s="177"/>
      <c r="P66" s="165"/>
      <c r="Q66" s="177"/>
      <c r="R66" s="161"/>
      <c r="S66" s="177"/>
      <c r="T66" s="161"/>
      <c r="U66" s="177"/>
      <c r="V66" s="161"/>
      <c r="W66" s="177"/>
      <c r="X66" s="161"/>
      <c r="Y66" s="177"/>
      <c r="Z66" s="161"/>
      <c r="AA66" s="177"/>
      <c r="AB66" s="161"/>
      <c r="AC66" s="177"/>
      <c r="AD66" s="165"/>
      <c r="AE66" s="177"/>
      <c r="AF66" s="161"/>
      <c r="AG66" s="177"/>
      <c r="AH66" s="161"/>
      <c r="AI66" s="183"/>
      <c r="AJ66" s="163"/>
      <c r="AK66" s="183"/>
      <c r="AM66" s="251"/>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row>
    <row r="67" spans="1:74" s="14" customFormat="1" ht="12.75">
      <c r="A67" s="427"/>
      <c r="B67" s="408"/>
      <c r="C67" s="50"/>
      <c r="D67" s="50"/>
      <c r="E67"/>
      <c r="F67"/>
      <c r="G67"/>
      <c r="H67" s="161"/>
      <c r="I67" s="177"/>
      <c r="J67" s="165"/>
      <c r="K67" s="177"/>
      <c r="L67" s="165"/>
      <c r="M67" s="177"/>
      <c r="N67" s="165"/>
      <c r="O67" s="177"/>
      <c r="P67" s="165"/>
      <c r="Q67" s="177"/>
      <c r="R67" s="161"/>
      <c r="S67" s="177"/>
      <c r="T67" s="161"/>
      <c r="U67" s="177"/>
      <c r="V67" s="161"/>
      <c r="W67" s="177"/>
      <c r="X67" s="161"/>
      <c r="Y67" s="177"/>
      <c r="Z67" s="161"/>
      <c r="AA67" s="177"/>
      <c r="AB67" s="161"/>
      <c r="AC67" s="177"/>
      <c r="AD67" s="165"/>
      <c r="AE67" s="177"/>
      <c r="AF67" s="161"/>
      <c r="AG67" s="177"/>
      <c r="AH67" s="161"/>
      <c r="AI67" s="183"/>
      <c r="AJ67" s="163"/>
      <c r="AK67" s="183"/>
      <c r="AM67" s="251"/>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c r="BR67" s="307"/>
      <c r="BS67" s="307"/>
      <c r="BT67" s="307"/>
      <c r="BU67" s="307"/>
      <c r="BV67" s="307"/>
    </row>
    <row r="68" spans="3:4" ht="12.75">
      <c r="C68" s="50"/>
      <c r="D68" s="50"/>
    </row>
    <row r="69" spans="3:34" ht="12.75">
      <c r="C69" s="7"/>
      <c r="D69" s="7"/>
      <c r="E69" s="7"/>
      <c r="F69" s="7"/>
      <c r="G69" s="7"/>
      <c r="H69" s="163"/>
      <c r="I69" s="183"/>
      <c r="J69" s="167"/>
      <c r="K69" s="183"/>
      <c r="L69" s="167"/>
      <c r="M69" s="183"/>
      <c r="N69" s="167"/>
      <c r="O69" s="183"/>
      <c r="P69" s="167"/>
      <c r="Q69" s="183"/>
      <c r="R69" s="163"/>
      <c r="S69" s="183"/>
      <c r="T69" s="163"/>
      <c r="U69" s="183"/>
      <c r="V69" s="163"/>
      <c r="W69" s="183"/>
      <c r="X69" s="163"/>
      <c r="Y69" s="183"/>
      <c r="Z69" s="163"/>
      <c r="AA69" s="183"/>
      <c r="AB69" s="163"/>
      <c r="AC69" s="183"/>
      <c r="AD69" s="167"/>
      <c r="AE69" s="183"/>
      <c r="AF69" s="163"/>
      <c r="AG69" s="183"/>
      <c r="AH69" s="163"/>
    </row>
  </sheetData>
  <sheetProtection sheet="1" objects="1" scenarios="1" formatCells="0" formatColumns="0" formatRows="0" insertColumns="0"/>
  <mergeCells count="42">
    <mergeCell ref="C5:AH5"/>
    <mergeCell ref="D27:AL27"/>
    <mergeCell ref="D64:AL64"/>
    <mergeCell ref="D43:AL43"/>
    <mergeCell ref="D39:AL39"/>
    <mergeCell ref="D25:AL25"/>
    <mergeCell ref="D60:AL60"/>
    <mergeCell ref="D61:AL61"/>
    <mergeCell ref="D62:AL62"/>
    <mergeCell ref="D63:AL63"/>
    <mergeCell ref="D59:AL59"/>
    <mergeCell ref="D52:AL52"/>
    <mergeCell ref="D53:AL53"/>
    <mergeCell ref="D54:AL54"/>
    <mergeCell ref="D55:AL55"/>
    <mergeCell ref="D49:AL49"/>
    <mergeCell ref="D50:AL50"/>
    <mergeCell ref="D51:AL51"/>
    <mergeCell ref="D58:AL58"/>
    <mergeCell ref="D56:AL56"/>
    <mergeCell ref="D57:AL57"/>
    <mergeCell ref="D45:AL45"/>
    <mergeCell ref="D46:AL46"/>
    <mergeCell ref="D47:AL47"/>
    <mergeCell ref="D48:AL48"/>
    <mergeCell ref="E32:H32"/>
    <mergeCell ref="R37:V38"/>
    <mergeCell ref="D44:AL44"/>
    <mergeCell ref="Z32:AC34"/>
    <mergeCell ref="D42:AL42"/>
    <mergeCell ref="AF38:AK38"/>
    <mergeCell ref="V32:Y34"/>
    <mergeCell ref="AN3:BV3"/>
    <mergeCell ref="AN6:BV6"/>
    <mergeCell ref="AN23:BV23"/>
    <mergeCell ref="AF36:AK36"/>
    <mergeCell ref="AF30:AK30"/>
    <mergeCell ref="AF32:AK32"/>
    <mergeCell ref="AF34:AK34"/>
    <mergeCell ref="D29:AL29"/>
    <mergeCell ref="D26:AL26"/>
    <mergeCell ref="D28:AL28"/>
  </mergeCells>
  <conditionalFormatting sqref="F12 N12 R12 T12 V12 X12 Z12 AD12 AF12 AH12 AJ12 AB12 P12 H12 J12 L12">
    <cfRule type="cellIs" priority="1" dxfId="0" operator="lessThan" stopIfTrue="1">
      <formula>F8-F9</formula>
    </cfRule>
    <cfRule type="cellIs" priority="2" dxfId="0" operator="lessThan" stopIfTrue="1">
      <formula>F14+F15+F16+F17+F18</formula>
    </cfRule>
  </conditionalFormatting>
  <conditionalFormatting sqref="BC38 BE38 BG38 BI38 BK38 BM38 BO38 BQ38 BS38 BU38 BC35 BE35 BG35 BI35 BK35 BM35 BO35 BQ35 BS35 BU35 BC31 BE31 BG31 BI31 BK31 BM31 BO31 BQ31 BS31 BU31 BC33 BE33 BG33 BI33 BK33 BM33 BO33 BQ33 BS33 BU33">
    <cfRule type="cellIs" priority="3" dxfId="0" operator="greaterThan" stopIfTrue="1">
      <formula>BC29</formula>
    </cfRule>
  </conditionalFormatting>
  <conditionalFormatting sqref="AQ36:BV36 AQ27:BU27 AQ30:BU30">
    <cfRule type="cellIs" priority="4" dxfId="0" operator="equal" stopIfTrue="1">
      <formula>"&lt;&gt;"</formula>
    </cfRule>
  </conditionalFormatting>
  <conditionalFormatting sqref="BC37 BE37 BG37 BI37 BK37 BM37 BO37 BQ37 BS37 BU37">
    <cfRule type="cellIs" priority="5" dxfId="0" operator="greaterThan" stopIfTrue="1">
      <formula>#REF!</formula>
    </cfRule>
  </conditionalFormatting>
  <conditionalFormatting sqref="AQ34:BU34">
    <cfRule type="cellIs" priority="6" dxfId="0" operator="equal" stopIfTrue="1">
      <formula>"&lt;&gt;"</formula>
    </cfRule>
    <cfRule type="cellIs" priority="7" dxfId="0" operator="equal" stopIfTrue="1">
      <formula>"5&lt;15"</formula>
    </cfRule>
  </conditionalFormatting>
  <conditionalFormatting sqref="F9 H9 J9 L9 N9 P9 R9 T9 V9 X9 Z9 AB9 AD9 AF9 AH9 AJ9">
    <cfRule type="cellIs" priority="8" dxfId="0" operator="lessThan" stopIfTrue="1">
      <formula>$F$10+$F$11</formula>
    </cfRule>
  </conditionalFormatting>
  <printOptions horizontalCentered="1"/>
  <pageMargins left="0.56" right="0.4" top="0.36" bottom="0.47" header="0.24" footer="0.25"/>
  <pageSetup fitToHeight="2" horizontalDpi="600" verticalDpi="600" orientation="landscape" paperSize="9" scale="75" r:id="rId4"/>
  <headerFooter alignWithMargins="0">
    <oddFooter>&amp;C&amp;"Arial,Regular"&amp;8Questionnaire UNSD/PNUE 2010 sur les Statistiques de l’environnement - Section d'eau -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Yongyi</cp:lastModifiedBy>
  <cp:lastPrinted>2010-04-13T21:45:23Z</cp:lastPrinted>
  <dcterms:created xsi:type="dcterms:W3CDTF">2001-01-18T18:38:40Z</dcterms:created>
  <dcterms:modified xsi:type="dcterms:W3CDTF">2010-04-13T21:46:01Z</dcterms:modified>
  <cp:category/>
  <cp:version/>
  <cp:contentType/>
  <cp:contentStatus/>
</cp:coreProperties>
</file>