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76" windowHeight="5376" tabRatio="527"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<sst xmlns="http://schemas.openxmlformats.org/spreadsheetml/2006/main" count="1446" uniqueCount="612">
  <si>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</si>
  <si>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</si>
  <si>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</si>
  <si>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</si>
  <si>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</si>
  <si>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</si>
  <si>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</si>
  <si>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</si>
  <si>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</si>
  <si>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</si>
  <si>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</si>
  <si>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</si>
  <si>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</si>
  <si>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</si>
  <si>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</si>
  <si>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</si>
  <si>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</si>
  <si>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</si>
  <si>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</si>
  <si>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</si>
  <si>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</si>
  <si>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</si>
  <si>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</si>
  <si>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</si>
  <si>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</si>
  <si>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</si>
  <si>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</si>
  <si>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</si>
  <si>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</si>
  <si>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</si>
  <si>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</si>
  <si>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</si>
  <si>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</si>
  <si>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</si>
  <si>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</si>
  <si>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</si>
  <si>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</si>
  <si>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</si>
  <si>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</si>
  <si>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</si>
  <si>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</si>
  <si>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</si>
  <si>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</si>
  <si>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</si>
  <si>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</si>
  <si>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</si>
  <si>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</si>
  <si>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</si>
  <si>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</si>
  <si>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</si>
  <si>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</si>
  <si>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</si>
  <si>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</si>
  <si>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</si>
  <si>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</si>
  <si>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</si>
  <si>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</si>
  <si>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</si>
  <si>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</si>
  <si>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</si>
  <si>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</si>
  <si>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</si>
  <si>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</si>
  <si>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</si>
  <si>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</si>
  <si>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</si>
  <si>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</si>
  <si>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</si>
  <si>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</si>
  <si>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</si>
  <si>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</si>
  <si>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</si>
  <si>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</si>
  <si>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</si>
  <si>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</si>
  <si>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</si>
  <si>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</si>
  <si>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</si>
  <si>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</si>
  <si>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</si>
  <si>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</si>
  <si>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</si>
  <si>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</si>
  <si>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</si>
  <si>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</si>
  <si>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</si>
  <si>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</si>
  <si>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</si>
  <si>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</si>
  <si>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</si>
  <si>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</si>
  <si>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</si>
  <si>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</si>
  <si>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</si>
  <si>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</si>
  <si>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</si>
  <si>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</si>
  <si>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</si>
  <si>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</si>
  <si>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</si>
  <si>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</si>
  <si>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</si>
  <si>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</si>
  <si>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</si>
  <si>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</si>
  <si>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</si>
  <si>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</si>
  <si>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</si>
  <si>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</si>
  <si>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</si>
  <si>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</si>
  <si>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</si>
  <si>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</si>
  <si>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</si>
  <si>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</si>
  <si>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</si>
  <si>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</si>
  <si>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</si>
  <si>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</si>
  <si>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</si>
  <si>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</si>
  <si>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</si>
  <si>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</si>
  <si>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</si>
  <si>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</si>
  <si>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</si>
  <si>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</si>
  <si>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</si>
  <si>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</si>
  <si>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</si>
  <si>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</si>
  <si>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</si>
  <si>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</si>
  <si>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</si>
  <si>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</si>
  <si>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</si>
  <si>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</si>
  <si>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</si>
  <si>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</si>
  <si>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</si>
  <si>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</si>
  <si>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</si>
  <si>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</si>
  <si>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</si>
  <si>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</si>
  <si>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</si>
  <si>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</si>
  <si>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</si>
  <si>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</si>
  <si>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</si>
  <si>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</si>
  <si>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</si>
  <si>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</si>
  <si>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</si>
  <si>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</si>
  <si>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</si>
  <si>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</si>
  <si>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</si>
  <si>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</si>
  <si>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</si>
  <si>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</si>
  <si>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</si>
  <si>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</si>
  <si>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</si>
  <si>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</si>
  <si>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</si>
  <si>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</si>
  <si>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</si>
  <si>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</si>
  <si>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</si>
  <si>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</si>
  <si>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</si>
  <si>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</si>
  <si>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</si>
  <si>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</si>
  <si>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</si>
  <si>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</si>
  <si>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</si>
  <si>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</si>
  <si>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</si>
  <si>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</si>
  <si>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</si>
  <si>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</si>
  <si>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</si>
  <si>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</si>
  <si>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</si>
  <si>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</si>
  <si>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</si>
  <si>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</si>
  <si>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</si>
  <si>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</si>
  <si>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</si>
  <si>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</si>
  <si>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</si>
  <si>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</si>
  <si>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</si>
  <si>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</si>
  <si>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</si>
  <si>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</si>
  <si>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</si>
  <si>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</si>
  <si>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</si>
  <si>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</si>
  <si>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</si>
  <si>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</si>
  <si>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</si>
  <si>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</si>
  <si>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</si>
  <si>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</si>
  <si>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</si>
  <si>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</si>
  <si>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</si>
  <si>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</si>
  <si>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</si>
  <si>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</si>
  <si>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</si>
  <si>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</si>
  <si>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</si>
  <si>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</si>
  <si>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</si>
  <si>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</si>
  <si>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</si>
  <si>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</si>
  <si>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</si>
  <si>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</si>
  <si>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</si>
  <si>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</si>
  <si>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</si>
  <si>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</si>
  <si>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</si>
  <si>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</si>
  <si>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</si>
  <si>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</si>
  <si>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</si>
  <si>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</si>
  <si>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</si>
  <si>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</si>
  <si>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</si>
  <si>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</si>
  <si>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</si>
  <si>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</si>
  <si>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</si>
  <si>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</si>
  <si>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</si>
  <si>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</si>
  <si>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</si>
  <si>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</si>
  <si>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</si>
  <si>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</si>
  <si>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</si>
  <si>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</si>
  <si>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</si>
  <si>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</si>
  <si>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</si>
  <si>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</si>
  <si>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</si>
  <si>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</si>
  <si>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</si>
  <si>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</si>
  <si>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</si>
  <si>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</si>
  <si>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</si>
  <si>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</si>
  <si>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</si>
  <si>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</si>
  <si>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</si>
  <si>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</si>
  <si>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</si>
  <si>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</si>
  <si>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</si>
  <si>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</si>
  <si>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</si>
  <si>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</si>
  <si>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</si>
  <si>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</si>
  <si>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</si>
  <si>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</si>
  <si>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</si>
  <si>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</si>
  <si>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</si>
  <si>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</si>
  <si>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</si>
  <si>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</si>
  <si>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</si>
  <si>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</si>
  <si>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</si>
  <si>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</si>
  <si>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</si>
  <si>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</si>
  <si>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</si>
  <si>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</si>
  <si>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</si>
  <si>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</si>
  <si>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</si>
  <si>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</si>
  <si>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</si>
  <si>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</si>
  <si>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</si>
  <si>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</si>
  <si>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</si>
  <si>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</si>
  <si>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</si>
  <si>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</si>
  <si>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</si>
  <si>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</si>
  <si>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</si>
  <si>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</si>
  <si>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</si>
  <si>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</si>
  <si>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</si>
  <si>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</si>
  <si>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</si>
  <si>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</si>
  <si>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</si>
  <si>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</si>
  <si>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</si>
  <si>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</si>
  <si>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</si>
  <si>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</si>
  <si>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</si>
  <si>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</si>
  <si>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</si>
  <si>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</si>
  <si>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</si>
  <si>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</si>
  <si>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</si>
  <si>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</si>
  <si>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</si>
  <si>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</si>
  <si>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</si>
  <si>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</si>
  <si>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</si>
  <si>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</si>
  <si>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</si>
  <si>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</si>
  <si>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</si>
  <si>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</si>
  <si>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</si>
  <si>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</si>
  <si>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</si>
  <si>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</si>
  <si>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</si>
  <si>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</si>
  <si>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</si>
  <si>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</si>
  <si>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</si>
  <si>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</si>
  <si>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</si>
  <si>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</si>
  <si>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</si>
  <si>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</si>
  <si>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</si>
  <si>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</si>
  <si>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</si>
  <si>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</si>
  <si>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</si>
  <si>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</si>
  <si>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</si>
  <si>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</si>
  <si>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</si>
  <si>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</si>
  <si>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</si>
  <si>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</si>
  <si>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</si>
  <si>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</si>
  <si>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</si>
  <si>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</si>
  <si>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</si>
  <si>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</si>
  <si>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</si>
  <si>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</si>
  <si>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</si>
  <si>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</si>
  <si>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</si>
  <si>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</si>
  <si>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</si>
  <si>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</si>
  <si>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</si>
  <si>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</si>
  <si>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</si>
  <si>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</si>
  <si>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</si>
  <si>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</si>
  <si>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</si>
  <si>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</si>
  <si>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</si>
  <si>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</si>
  <si>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</si>
  <si>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</si>
  <si>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</si>
  <si>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</si>
  <si>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</si>
  <si>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</si>
  <si>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</si>
  <si>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</si>
  <si>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</si>
  <si>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</si>
  <si>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</si>
  <si>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</si>
  <si>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</si>
  <si>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</si>
  <si>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</si>
  <si>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</si>
  <si>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</si>
  <si>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</si>
  <si>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</si>
  <si>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</si>
  <si>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</si>
  <si>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</si>
  <si>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</si>
  <si>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</si>
  <si>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</si>
  <si>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</si>
  <si>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</si>
  <si>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</si>
  <si>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</si>
  <si>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</si>
  <si>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</si>
  <si>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</si>
  <si>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</si>
  <si>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</si>
  <si>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</si>
  <si>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</si>
  <si>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</si>
  <si>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</si>
  <si>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</si>
  <si>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</si>
  <si>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</si>
  <si>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</si>
  <si>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</si>
  <si>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</si>
  <si>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</si>
  <si>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</si>
  <si>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</si>
  <si>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</si>
  <si>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</si>
  <si>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</si>
  <si>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</si>
  <si>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</si>
  <si>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</si>
  <si>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</si>
  <si>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</si>
  <si>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</si>
  <si>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</si>
  <si>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</si>
  <si>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</si>
  <si>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</si>
  <si>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</si>
  <si>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</si>
  <si>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</si>
  <si>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</si>
  <si>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</si>
  <si>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</si>
  <si>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</si>
  <si>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</si>
  <si>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</si>
  <si>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</si>
  <si>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</si>
  <si>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</si>
  <si>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</si>
  <si>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</si>
  <si>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</si>
  <si>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</si>
  <si>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</si>
  <si>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</si>
  <si>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</si>
  <si>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</si>
  <si>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</si>
  <si>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</si>
  <si>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</si>
  <si>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</si>
  <si>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</si>
  <si>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</si>
  <si>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</si>
  <si>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</si>
  <si>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</si>
  <si>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</si>
  <si>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</si>
  <si>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</si>
  <si>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</si>
  <si>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</si>
  <si>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</si>
  <si>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</si>
  <si>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</si>
  <si>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</si>
  <si>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</si>
  <si>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</si>
  <si>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</si>
  <si>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</si>
  <si>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</si>
  <si>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</si>
  <si>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</si>
  <si>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</si>
  <si>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</si>
  <si>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</si>
  <si>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</si>
  <si>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</si>
  <si>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</si>
  <si>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</si>
  <si>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</si>
  <si>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</si>
  <si>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</si>
  <si>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</si>
  <si>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</si>
  <si>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</si>
  <si>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</si>
  <si>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</si>
  <si>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</si>
  <si>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</si>
  <si>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</si>
  <si>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</si>
  <si>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</si>
  <si>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</si>
  <si>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</si>
  <si>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</si>
  <si>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</si>
  <si>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</si>
  <si>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</si>
  <si>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</si>
  <si>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</si>
  <si>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</si>
  <si>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</si>
  <si>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</si>
  <si>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</si>
  <si>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</si>
  <si>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</si>
  <si>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</si>
  <si>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</si>
  <si>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</si>
  <si>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</si>
  <si>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</si>
  <si>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</si>
  <si>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</si>
  <si>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</si>
  <si>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</si>
  <si>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</si>
  <si>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</si>
  <si>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</si>
  <si>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</si>
  <si>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</si>
  <si>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</si>
  <si>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</si>
  <si>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</si>
  <si>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</si>
  <si>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</si>
  <si>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</si>
  <si>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</si>
  <si>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</si>
  <si>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</si>
  <si>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</si>
  <si>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</si>
  <si>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</si>
  <si>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</si>
  <si>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</si>
  <si>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</si>
  <si>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</si>
  <si>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</si>
  <si>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</si>
  <si>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</si>
  <si>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</si>
  <si>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</si>
  <si>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</si>
  <si>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</si>
  <si>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</si>
  <si>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</si>
  <si>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</si>
  <si>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</si>
  <si>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</si>
  <si>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</si>
  <si>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</si>
  <si>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</si>
  <si>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</si>
  <si>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</si>
  <si>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</si>
  <si>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</si>
  <si>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</si>
  <si>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</si>
  <si>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</si>
  <si>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</si>
  <si>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</si>
  <si>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</si>
  <si>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</si>
  <si>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</si>
  <si>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</si>
  <si>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</si>
  <si>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</si>
  <si>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</si>
  <si>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</si>
  <si>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</si>
  <si>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</si>
  <si>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</si>
  <si>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</si>
  <si>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</si>
  <si>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</si>
  <si>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</si>
  <si>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</si>
  <si>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</si>
  <si>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</si>
  <si>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</si>
  <si>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</si>
  <si>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</si>
  <si>
    <t xml:space="preserve">average rainfall over the past 100 years (with some gaps) = 2,043mm/year. Nauru's surface=21,000m2 </t>
  </si>
  <si>
    <t>Almost 100% of the population can be considered urban in Nauru. No one is connected to a reticulation service and the produced desalinated water is available to anyone and delivered by truck. As of 2015, the delivery fee was 0.003 Australian $ per litre for domestic users and 0.02 for commercial and government.</t>
  </si>
  <si>
    <t>Definition for freshwater: Water with an electric conductivity inferior to 2500 micro siemens per cm</t>
  </si>
  <si>
    <t>CIE</t>
  </si>
  <si>
    <t>There is no data available on the volume of wastewater. Only the recently builts NRPC centres and some newly built government buildings and school classrooms have wastewater treatment facilities. Most housholds use cesspits and some use proper septic tanks. In some areas, the wastewater is reticulated to the sea via several channels, whithout treatment. The utility provider also provide a cesspit/septic emptying service for a fee. The water collected is disposed to the sea via a pipe.</t>
  </si>
  <si>
    <t>Actual evapotranspiration estiamted as percent of rainfall (60%) based on: Jacobson, G. &amp; Hill, P.J. (1988) Hydrogeology and groundwater resources of Nauru Island, Central Pacific Ocean. Canberra, ACT, Bureau of Mineral Resources.</t>
  </si>
  <si>
    <t>Long term rainfall average: from 1900 until 2016 with some (10%&lt;) missing years</t>
  </si>
  <si>
    <t>Groundwater quality is higly variable depending on location and rainfall. It is often brackish. There is only a small area in the North West of the island that shows a permanent freshwater lens. The exact extent of it is unknown.</t>
  </si>
  <si>
    <t>A</t>
  </si>
  <si>
    <t>B</t>
  </si>
  <si>
    <t>Most groundwater abstracted around the island is brackish. Only a small area in the North-West of the island has fresh groundwater. The water is abstracted privately by a few dwelings for their own use and a few laundries and there is no estimate of abstraction available.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</si>
</sst>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9">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14" fontId="2" fillId="0" borderId="76" xfId="0" applyNumberFormat="1" applyFont="1" applyBorder="1" applyAlignment="1" applyProtection="1">
      <alignment horizontal="center"/>
      <protection locked="0"/>
    </xf>
    <xf numFmtId="1" fontId="9" fillId="0" borderId="0" xfId="0" applyNumberFormat="1" applyFont="1" applyAlignment="1" applyProtection="1">
      <alignment/>
      <protection locked="0"/>
    </xf>
    <xf numFmtId="0" fontId="0" fillId="0" borderId="0" xfId="0" applyFill="1" applyAlignment="1" applyProtection="1">
      <alignment/>
      <protection locked="0"/>
    </xf>
    <xf numFmtId="0" fontId="9" fillId="0" borderId="0" xfId="0" applyFont="1" applyAlignment="1" applyProtection="1">
      <alignment horizontal="center" vertical="center"/>
      <protection locked="0"/>
    </xf>
    <xf numFmtId="0" fontId="17" fillId="0" borderId="10" xfId="0" applyFont="1" applyBorder="1" applyAlignment="1">
      <alignment horizontal="left" vertical="top"/>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vertical="center"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3" fillId="0" borderId="0" xfId="0" applyFont="1" applyFill="1" applyAlignment="1">
      <alignment vertical="top" wrapText="1"/>
    </xf>
    <xf numFmtId="0" fontId="2" fillId="0" borderId="0" xfId="0" applyFont="1" applyFill="1" applyAlignment="1">
      <alignment horizontal="left" vertical="center" wrapText="1"/>
    </xf>
    <xf numFmtId="0" fontId="14"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 borderId="62" xfId="0" applyFont="1" applyFill="1" applyBorder="1" applyAlignment="1" applyProtection="1">
      <alignment horizontal="center" vertical="center" wrapText="1"/>
      <protection/>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60"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9" fillId="0" borderId="0" xfId="0" applyFont="1" applyFill="1" applyAlignment="1" applyProtection="1">
      <alignment horizontal="left" vertical="top" wrapText="1"/>
      <protection/>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9" fillId="3" borderId="60" xfId="0" applyFont="1" applyFill="1" applyBorder="1" applyAlignment="1" applyProtection="1">
      <alignment horizontal="center" vertical="center" wrapText="1"/>
      <protection/>
    </xf>
    <xf numFmtId="0" fontId="0" fillId="0" borderId="61" xfId="0" applyBorder="1" applyAlignment="1" applyProtection="1">
      <alignment wrapText="1"/>
      <protection/>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2" fillId="0" borderId="34" xfId="0" applyFont="1" applyBorder="1" applyAlignment="1">
      <alignment horizontal="left" wrapText="1"/>
    </xf>
    <xf numFmtId="0" fontId="2" fillId="0" borderId="79" xfId="0" applyFont="1" applyBorder="1" applyAlignment="1">
      <alignment horizontal="left" wrapText="1"/>
    </xf>
    <xf numFmtId="0" fontId="9" fillId="36" borderId="85" xfId="0" applyFont="1" applyFill="1" applyBorder="1" applyAlignment="1" applyProtection="1">
      <alignment horizontal="center" vertical="center" wrapText="1"/>
      <protection/>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89"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92" xfId="0" applyFont="1" applyBorder="1" applyAlignment="1">
      <alignment horizontal="left" wrapText="1"/>
    </xf>
    <xf numFmtId="0" fontId="2" fillId="0" borderId="93" xfId="0" applyFont="1" applyBorder="1" applyAlignment="1">
      <alignment horizontal="lef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9" fillId="5" borderId="85"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39" fillId="0" borderId="0" xfId="0" applyFont="1" applyFill="1" applyAlignment="1" applyProtection="1">
      <alignment horizont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89"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8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2292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482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577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50577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482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387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913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76866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2581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2581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2677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2581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82677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82772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7913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74" t="s">
        <v>164</v>
      </c>
      <c r="C7" s="674"/>
      <c r="D7" s="674"/>
      <c r="E7" s="674"/>
      <c r="F7" s="674"/>
      <c r="G7" s="674"/>
      <c r="H7" s="674"/>
      <c r="I7" s="674"/>
      <c r="J7" s="674"/>
      <c r="K7" s="674"/>
      <c r="L7" s="93"/>
    </row>
    <row r="8" spans="2:12" ht="24.75" customHeight="1">
      <c r="B8" s="675" t="s">
        <v>584</v>
      </c>
      <c r="C8" s="675"/>
      <c r="D8" s="675"/>
      <c r="E8" s="675"/>
      <c r="F8" s="675"/>
      <c r="G8" s="675"/>
      <c r="H8" s="675"/>
      <c r="I8" s="675"/>
      <c r="J8" s="675"/>
      <c r="K8" s="675"/>
      <c r="L8" s="93"/>
    </row>
    <row r="10" spans="2:4" ht="17.25">
      <c r="B10" s="123" t="s">
        <v>356</v>
      </c>
      <c r="C10" s="124"/>
      <c r="D10" s="3"/>
    </row>
    <row r="11" spans="2:4" ht="10.5" customHeight="1">
      <c r="B11" s="4"/>
      <c r="C11" s="3"/>
      <c r="D11" s="3"/>
    </row>
    <row r="12" spans="1:12" s="25" customFormat="1" ht="16.5" customHeight="1">
      <c r="A12" s="20"/>
      <c r="B12" s="676" t="s">
        <v>363</v>
      </c>
      <c r="C12" s="677"/>
      <c r="D12" s="677"/>
      <c r="E12" s="677"/>
      <c r="F12" s="677"/>
      <c r="G12" s="677"/>
      <c r="H12" s="677"/>
      <c r="I12" s="677"/>
      <c r="J12" s="677"/>
      <c r="K12" s="677"/>
      <c r="L12" s="92"/>
    </row>
    <row r="13" spans="2:11" ht="10.5" customHeight="1">
      <c r="B13" s="125"/>
      <c r="C13" s="126"/>
      <c r="D13" s="125"/>
      <c r="E13" s="10"/>
      <c r="F13" s="125"/>
      <c r="G13" s="56"/>
      <c r="H13" s="56"/>
      <c r="I13" s="56"/>
      <c r="J13" s="56"/>
      <c r="K13" s="56"/>
    </row>
    <row r="14" spans="2:11" ht="15.75" customHeight="1">
      <c r="B14" s="127" t="s">
        <v>364</v>
      </c>
      <c r="C14" s="678" t="s">
        <v>568</v>
      </c>
      <c r="D14" s="679"/>
      <c r="E14" s="679"/>
      <c r="F14" s="679"/>
      <c r="G14" s="679"/>
      <c r="H14" s="679"/>
      <c r="I14" s="679"/>
      <c r="J14" s="679"/>
      <c r="K14" s="680"/>
    </row>
    <row r="15" spans="2:11" ht="7.5" customHeight="1">
      <c r="B15" s="128"/>
      <c r="C15" s="668"/>
      <c r="D15" s="669"/>
      <c r="E15" s="669"/>
      <c r="F15" s="669"/>
      <c r="G15" s="669"/>
      <c r="H15" s="669"/>
      <c r="I15" s="669"/>
      <c r="J15" s="669"/>
      <c r="K15" s="670"/>
    </row>
    <row r="16" spans="2:11" ht="15.75" customHeight="1">
      <c r="B16" s="128" t="s">
        <v>365</v>
      </c>
      <c r="C16" s="668" t="s">
        <v>367</v>
      </c>
      <c r="D16" s="669"/>
      <c r="E16" s="669"/>
      <c r="F16" s="669"/>
      <c r="G16" s="669"/>
      <c r="H16" s="669"/>
      <c r="I16" s="669"/>
      <c r="J16" s="669"/>
      <c r="K16" s="670"/>
    </row>
    <row r="17" spans="2:11" ht="7.5" customHeight="1">
      <c r="B17" s="128"/>
      <c r="C17" s="668"/>
      <c r="D17" s="669"/>
      <c r="E17" s="669"/>
      <c r="F17" s="669"/>
      <c r="G17" s="669"/>
      <c r="H17" s="669"/>
      <c r="I17" s="669"/>
      <c r="J17" s="669"/>
      <c r="K17" s="670"/>
    </row>
    <row r="18" spans="2:12" ht="15.75" customHeight="1">
      <c r="B18" s="128" t="s">
        <v>368</v>
      </c>
      <c r="C18" s="668" t="s">
        <v>165</v>
      </c>
      <c r="D18" s="671"/>
      <c r="E18" s="671"/>
      <c r="F18" s="671"/>
      <c r="G18" s="671"/>
      <c r="H18" s="671"/>
      <c r="I18" s="671"/>
      <c r="J18" s="671"/>
      <c r="K18" s="671"/>
      <c r="L18" s="92" t="s">
        <v>86</v>
      </c>
    </row>
    <row r="19" spans="2:11" ht="7.5" customHeight="1">
      <c r="B19" s="128"/>
      <c r="C19" s="668"/>
      <c r="D19" s="669"/>
      <c r="E19" s="669"/>
      <c r="F19" s="669"/>
      <c r="G19" s="669"/>
      <c r="H19" s="669"/>
      <c r="I19" s="669"/>
      <c r="J19" s="669"/>
      <c r="K19" s="670"/>
    </row>
    <row r="20" spans="2:12" ht="15.75" customHeight="1">
      <c r="B20" s="128" t="s">
        <v>369</v>
      </c>
      <c r="C20" s="668" t="s">
        <v>98</v>
      </c>
      <c r="D20" s="671"/>
      <c r="E20" s="671"/>
      <c r="F20" s="671"/>
      <c r="G20" s="671"/>
      <c r="H20" s="671"/>
      <c r="I20" s="671"/>
      <c r="J20" s="671"/>
      <c r="K20" s="671"/>
      <c r="L20" s="92" t="s">
        <v>353</v>
      </c>
    </row>
    <row r="21" spans="2:11" ht="7.5" customHeight="1">
      <c r="B21" s="128"/>
      <c r="C21" s="668"/>
      <c r="D21" s="669"/>
      <c r="E21" s="669"/>
      <c r="F21" s="669"/>
      <c r="G21" s="669"/>
      <c r="H21" s="669"/>
      <c r="I21" s="669"/>
      <c r="J21" s="669"/>
      <c r="K21" s="670"/>
    </row>
    <row r="22" spans="2:12" ht="15.75" customHeight="1">
      <c r="B22" s="128" t="s">
        <v>370</v>
      </c>
      <c r="C22" s="668" t="s">
        <v>57</v>
      </c>
      <c r="D22" s="671"/>
      <c r="E22" s="671"/>
      <c r="F22" s="671"/>
      <c r="G22" s="671"/>
      <c r="H22" s="671"/>
      <c r="I22" s="671"/>
      <c r="J22" s="671"/>
      <c r="K22" s="671"/>
      <c r="L22" s="92" t="s">
        <v>94</v>
      </c>
    </row>
    <row r="23" spans="2:11" ht="7.5" customHeight="1">
      <c r="B23" s="128"/>
      <c r="C23" s="668"/>
      <c r="D23" s="669"/>
      <c r="E23" s="669"/>
      <c r="F23" s="669"/>
      <c r="G23" s="669"/>
      <c r="H23" s="669"/>
      <c r="I23" s="669"/>
      <c r="J23" s="669"/>
      <c r="K23" s="670"/>
    </row>
    <row r="24" spans="2:12" ht="15.75" customHeight="1">
      <c r="B24" s="128" t="s">
        <v>322</v>
      </c>
      <c r="C24" s="668" t="s">
        <v>99</v>
      </c>
      <c r="D24" s="669"/>
      <c r="E24" s="669"/>
      <c r="F24" s="669"/>
      <c r="G24" s="669"/>
      <c r="H24" s="669"/>
      <c r="I24" s="669"/>
      <c r="J24" s="669"/>
      <c r="K24" s="670"/>
      <c r="L24" s="92" t="s">
        <v>40</v>
      </c>
    </row>
    <row r="25" spans="2:11" ht="7.5" customHeight="1">
      <c r="B25" s="128"/>
      <c r="C25" s="668"/>
      <c r="D25" s="669"/>
      <c r="E25" s="669"/>
      <c r="F25" s="669"/>
      <c r="G25" s="669"/>
      <c r="H25" s="669"/>
      <c r="I25" s="669"/>
      <c r="J25" s="669"/>
      <c r="K25" s="670"/>
    </row>
    <row r="26" spans="2:12" ht="15.75" customHeight="1">
      <c r="B26" s="128" t="s">
        <v>377</v>
      </c>
      <c r="C26" s="668" t="s">
        <v>166</v>
      </c>
      <c r="D26" s="671"/>
      <c r="E26" s="671"/>
      <c r="F26" s="671"/>
      <c r="G26" s="671"/>
      <c r="H26" s="671"/>
      <c r="I26" s="671"/>
      <c r="J26" s="671"/>
      <c r="K26" s="671"/>
      <c r="L26" s="92" t="s">
        <v>95</v>
      </c>
    </row>
    <row r="27" spans="2:11" ht="7.5" customHeight="1">
      <c r="B27" s="128"/>
      <c r="C27" s="668"/>
      <c r="D27" s="669"/>
      <c r="E27" s="669"/>
      <c r="F27" s="669"/>
      <c r="G27" s="669"/>
      <c r="H27" s="669"/>
      <c r="I27" s="669"/>
      <c r="J27" s="669"/>
      <c r="K27" s="670"/>
    </row>
    <row r="28" spans="2:11" ht="15.75" customHeight="1">
      <c r="B28" s="128" t="s">
        <v>323</v>
      </c>
      <c r="C28" s="668" t="s">
        <v>155</v>
      </c>
      <c r="D28" s="669"/>
      <c r="E28" s="669"/>
      <c r="F28" s="669"/>
      <c r="G28" s="669"/>
      <c r="H28" s="669"/>
      <c r="I28" s="669"/>
      <c r="J28" s="669"/>
      <c r="K28" s="670"/>
    </row>
    <row r="29" spans="2:11" ht="9.75" customHeight="1">
      <c r="B29" s="128"/>
      <c r="C29" s="673"/>
      <c r="D29" s="673"/>
      <c r="E29" s="673"/>
      <c r="F29" s="673"/>
      <c r="G29" s="673"/>
      <c r="H29" s="673"/>
      <c r="I29" s="673"/>
      <c r="J29" s="673"/>
      <c r="K29" s="673"/>
    </row>
    <row r="30" spans="2:11" ht="13.5">
      <c r="B30" s="13"/>
      <c r="C30" s="672"/>
      <c r="D30" s="672"/>
      <c r="E30" s="672"/>
      <c r="F30" s="672"/>
      <c r="G30" s="672"/>
      <c r="H30" s="672"/>
      <c r="I30" s="672"/>
      <c r="J30" s="672"/>
      <c r="K30" s="672"/>
    </row>
    <row r="31" spans="2:10" ht="7.5" customHeight="1">
      <c r="B31" s="14"/>
      <c r="C31" s="17"/>
      <c r="D31" s="17"/>
      <c r="E31" s="17"/>
      <c r="F31" s="17"/>
      <c r="G31" s="17"/>
      <c r="H31" s="17"/>
      <c r="I31" s="17"/>
      <c r="J31" s="17"/>
    </row>
    <row r="32" spans="2:12" s="7" customFormat="1" ht="13.5">
      <c r="B32" s="12"/>
      <c r="C32" s="667"/>
      <c r="D32" s="667"/>
      <c r="E32" s="667"/>
      <c r="F32" s="667"/>
      <c r="G32" s="667"/>
      <c r="H32" s="667"/>
      <c r="I32" s="667"/>
      <c r="J32" s="667"/>
      <c r="K32" s="667"/>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C1" sqref="C1"/>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t="s">
        <v>185</v>
      </c>
      <c r="F3" s="31"/>
      <c r="G3" s="31"/>
      <c r="H3" s="34"/>
      <c r="K3" s="33" t="s">
        <v>81</v>
      </c>
      <c r="L3" s="34"/>
      <c r="M3" s="34"/>
      <c r="N3" s="34" t="s">
        <v>604</v>
      </c>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58" t="s">
        <v>233</v>
      </c>
      <c r="D5" s="859"/>
      <c r="E5" s="859"/>
      <c r="F5" s="859"/>
      <c r="G5" s="859"/>
      <c r="H5" s="859"/>
      <c r="I5" s="859"/>
      <c r="J5" s="859"/>
      <c r="K5" s="859"/>
      <c r="L5" s="859"/>
      <c r="M5" s="859"/>
      <c r="N5" s="29"/>
      <c r="O5" s="29"/>
      <c r="P5" s="29"/>
    </row>
    <row r="6" ht="9.75" customHeight="1"/>
    <row r="7" spans="3:16" ht="17.25" customHeight="1">
      <c r="C7" s="860" t="s">
        <v>13</v>
      </c>
      <c r="D7" s="861"/>
      <c r="E7" s="861"/>
      <c r="F7" s="861"/>
      <c r="G7" s="861"/>
      <c r="H7" s="861"/>
      <c r="I7" s="861"/>
      <c r="J7" s="861"/>
      <c r="K7" s="861"/>
      <c r="L7" s="861"/>
      <c r="M7" s="861"/>
      <c r="N7" s="861"/>
      <c r="O7" s="861"/>
      <c r="P7" s="862"/>
    </row>
    <row r="8" spans="3:16" ht="25.5" customHeight="1">
      <c r="C8" s="866"/>
      <c r="D8" s="867"/>
      <c r="E8" s="867"/>
      <c r="F8" s="867"/>
      <c r="G8" s="867"/>
      <c r="H8" s="867"/>
      <c r="I8" s="867"/>
      <c r="J8" s="867"/>
      <c r="K8" s="867"/>
      <c r="L8" s="867"/>
      <c r="M8" s="867"/>
      <c r="N8" s="867"/>
      <c r="O8" s="867"/>
      <c r="P8" s="868"/>
    </row>
    <row r="9" spans="3:16" ht="39" customHeight="1">
      <c r="C9" s="863" t="s">
        <v>311</v>
      </c>
      <c r="D9" s="864"/>
      <c r="E9" s="864"/>
      <c r="F9" s="864"/>
      <c r="G9" s="864"/>
      <c r="H9" s="864"/>
      <c r="I9" s="864"/>
      <c r="J9" s="864"/>
      <c r="K9" s="864"/>
      <c r="L9" s="864"/>
      <c r="M9" s="864"/>
      <c r="N9" s="864"/>
      <c r="O9" s="864"/>
      <c r="P9" s="865"/>
    </row>
    <row r="10" spans="3:16" ht="15" customHeight="1">
      <c r="C10" s="869"/>
      <c r="D10" s="870"/>
      <c r="E10" s="870"/>
      <c r="F10" s="870"/>
      <c r="G10" s="870"/>
      <c r="H10" s="870"/>
      <c r="I10" s="870"/>
      <c r="J10" s="870"/>
      <c r="K10" s="870"/>
      <c r="L10" s="870"/>
      <c r="M10" s="870"/>
      <c r="N10" s="870"/>
      <c r="O10" s="870"/>
      <c r="P10" s="871"/>
    </row>
    <row r="11" spans="3:16" ht="15" customHeight="1">
      <c r="C11" s="869" t="s">
        <v>603</v>
      </c>
      <c r="D11" s="870"/>
      <c r="E11" s="870"/>
      <c r="F11" s="870"/>
      <c r="G11" s="870"/>
      <c r="H11" s="870"/>
      <c r="I11" s="870"/>
      <c r="J11" s="870"/>
      <c r="K11" s="870"/>
      <c r="L11" s="870"/>
      <c r="M11" s="870"/>
      <c r="N11" s="870"/>
      <c r="O11" s="870"/>
      <c r="P11" s="871"/>
    </row>
    <row r="12" spans="3:16" ht="15" customHeight="1">
      <c r="C12" s="869" t="s">
        <v>607</v>
      </c>
      <c r="D12" s="870"/>
      <c r="E12" s="870"/>
      <c r="F12" s="870"/>
      <c r="G12" s="870"/>
      <c r="H12" s="870"/>
      <c r="I12" s="870"/>
      <c r="J12" s="870"/>
      <c r="K12" s="870"/>
      <c r="L12" s="870"/>
      <c r="M12" s="870"/>
      <c r="N12" s="870"/>
      <c r="O12" s="870"/>
      <c r="P12" s="871"/>
    </row>
    <row r="13" spans="3:16" ht="30.75" customHeight="1">
      <c r="C13" s="869"/>
      <c r="D13" s="872"/>
      <c r="E13" s="872"/>
      <c r="F13" s="872"/>
      <c r="G13" s="872"/>
      <c r="H13" s="872"/>
      <c r="I13" s="872"/>
      <c r="J13" s="872"/>
      <c r="K13" s="872"/>
      <c r="L13" s="872"/>
      <c r="M13" s="872"/>
      <c r="N13" s="872"/>
      <c r="O13" s="872"/>
      <c r="P13" s="873"/>
    </row>
    <row r="14" spans="3:16" ht="15" customHeight="1">
      <c r="C14" s="869"/>
      <c r="D14" s="870"/>
      <c r="E14" s="870"/>
      <c r="F14" s="870"/>
      <c r="G14" s="870"/>
      <c r="H14" s="870"/>
      <c r="I14" s="870"/>
      <c r="J14" s="870"/>
      <c r="K14" s="870"/>
      <c r="L14" s="870"/>
      <c r="M14" s="870"/>
      <c r="N14" s="870"/>
      <c r="O14" s="870"/>
      <c r="P14" s="871"/>
    </row>
    <row r="15" spans="3:16" ht="15" customHeight="1">
      <c r="C15" s="869"/>
      <c r="D15" s="870"/>
      <c r="E15" s="870"/>
      <c r="F15" s="870"/>
      <c r="G15" s="870"/>
      <c r="H15" s="870"/>
      <c r="I15" s="870"/>
      <c r="J15" s="870"/>
      <c r="K15" s="870"/>
      <c r="L15" s="870"/>
      <c r="M15" s="870"/>
      <c r="N15" s="870"/>
      <c r="O15" s="870"/>
      <c r="P15" s="871"/>
    </row>
    <row r="16" spans="3:16" ht="15" customHeight="1">
      <c r="C16" s="869"/>
      <c r="D16" s="870"/>
      <c r="E16" s="870"/>
      <c r="F16" s="870"/>
      <c r="G16" s="870"/>
      <c r="H16" s="870"/>
      <c r="I16" s="870"/>
      <c r="J16" s="870"/>
      <c r="K16" s="870"/>
      <c r="L16" s="870"/>
      <c r="M16" s="870"/>
      <c r="N16" s="870"/>
      <c r="O16" s="870"/>
      <c r="P16" s="871"/>
    </row>
    <row r="17" spans="3:16" ht="15" customHeight="1">
      <c r="C17" s="869"/>
      <c r="D17" s="872"/>
      <c r="E17" s="872"/>
      <c r="F17" s="872"/>
      <c r="G17" s="872"/>
      <c r="H17" s="872"/>
      <c r="I17" s="872"/>
      <c r="J17" s="872"/>
      <c r="K17" s="872"/>
      <c r="L17" s="872"/>
      <c r="M17" s="872"/>
      <c r="N17" s="872"/>
      <c r="O17" s="872"/>
      <c r="P17" s="873"/>
    </row>
    <row r="18" spans="3:16" ht="15" customHeight="1">
      <c r="C18" s="869"/>
      <c r="D18" s="872"/>
      <c r="E18" s="872"/>
      <c r="F18" s="872"/>
      <c r="G18" s="872"/>
      <c r="H18" s="872"/>
      <c r="I18" s="872"/>
      <c r="J18" s="872"/>
      <c r="K18" s="872"/>
      <c r="L18" s="872"/>
      <c r="M18" s="872"/>
      <c r="N18" s="872"/>
      <c r="O18" s="872"/>
      <c r="P18" s="873"/>
    </row>
    <row r="19" spans="3:16" ht="15" customHeight="1">
      <c r="C19" s="860" t="s">
        <v>50</v>
      </c>
      <c r="D19" s="861"/>
      <c r="E19" s="861"/>
      <c r="F19" s="861"/>
      <c r="G19" s="861"/>
      <c r="H19" s="861"/>
      <c r="I19" s="861"/>
      <c r="J19" s="861"/>
      <c r="K19" s="861"/>
      <c r="L19" s="861"/>
      <c r="M19" s="861"/>
      <c r="N19" s="861"/>
      <c r="O19" s="861"/>
      <c r="P19" s="862"/>
    </row>
    <row r="20" spans="3:16" ht="15" customHeight="1">
      <c r="C20" s="869"/>
      <c r="D20" s="874"/>
      <c r="E20" s="874"/>
      <c r="F20" s="874"/>
      <c r="G20" s="874"/>
      <c r="H20" s="874"/>
      <c r="I20" s="874"/>
      <c r="J20" s="874"/>
      <c r="K20" s="874"/>
      <c r="L20" s="874"/>
      <c r="M20" s="874"/>
      <c r="N20" s="874"/>
      <c r="O20" s="874"/>
      <c r="P20" s="875"/>
    </row>
    <row r="21" spans="3:16" ht="15" customHeight="1">
      <c r="C21" s="869"/>
      <c r="D21" s="874"/>
      <c r="E21" s="874"/>
      <c r="F21" s="874"/>
      <c r="G21" s="874"/>
      <c r="H21" s="874"/>
      <c r="I21" s="874"/>
      <c r="J21" s="874"/>
      <c r="K21" s="874"/>
      <c r="L21" s="874"/>
      <c r="M21" s="874"/>
      <c r="N21" s="874"/>
      <c r="O21" s="874"/>
      <c r="P21" s="875"/>
    </row>
    <row r="22" spans="3:16" ht="15" customHeight="1">
      <c r="C22" s="869"/>
      <c r="D22" s="874"/>
      <c r="E22" s="874"/>
      <c r="F22" s="874"/>
      <c r="G22" s="874"/>
      <c r="H22" s="874"/>
      <c r="I22" s="874"/>
      <c r="J22" s="874"/>
      <c r="K22" s="874"/>
      <c r="L22" s="874"/>
      <c r="M22" s="874"/>
      <c r="N22" s="874"/>
      <c r="O22" s="874"/>
      <c r="P22" s="875"/>
    </row>
    <row r="23" spans="3:16" ht="15" customHeight="1">
      <c r="C23" s="869"/>
      <c r="D23" s="874"/>
      <c r="E23" s="874"/>
      <c r="F23" s="874"/>
      <c r="G23" s="874"/>
      <c r="H23" s="874"/>
      <c r="I23" s="874"/>
      <c r="J23" s="874"/>
      <c r="K23" s="874"/>
      <c r="L23" s="874"/>
      <c r="M23" s="874"/>
      <c r="N23" s="874"/>
      <c r="O23" s="874"/>
      <c r="P23" s="875"/>
    </row>
    <row r="24" spans="3:16" ht="15" customHeight="1">
      <c r="C24" s="876"/>
      <c r="D24" s="877"/>
      <c r="E24" s="877"/>
      <c r="F24" s="877"/>
      <c r="G24" s="877"/>
      <c r="H24" s="877"/>
      <c r="I24" s="877"/>
      <c r="J24" s="877"/>
      <c r="K24" s="877"/>
      <c r="L24" s="877"/>
      <c r="M24" s="877"/>
      <c r="N24" s="877"/>
      <c r="O24" s="877"/>
      <c r="P24" s="878"/>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43">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705" t="s">
        <v>372</v>
      </c>
      <c r="C3" s="705"/>
      <c r="D3" s="705"/>
      <c r="E3" s="705"/>
      <c r="F3" s="705"/>
      <c r="G3" s="705"/>
      <c r="H3" s="705"/>
      <c r="I3" s="705"/>
      <c r="J3" s="705"/>
      <c r="K3" s="705"/>
    </row>
    <row r="4" ht="9.75" customHeight="1">
      <c r="C4" s="14"/>
    </row>
    <row r="5" spans="2:11" s="19" customFormat="1" ht="15">
      <c r="B5" s="697" t="s">
        <v>373</v>
      </c>
      <c r="C5" s="697"/>
      <c r="D5" s="697"/>
      <c r="E5" s="697"/>
      <c r="F5" s="697"/>
      <c r="G5" s="697"/>
      <c r="H5" s="697"/>
      <c r="I5" s="697"/>
      <c r="J5" s="697"/>
      <c r="K5" s="697"/>
    </row>
    <row r="6" spans="2:10" ht="7.5" customHeight="1">
      <c r="B6" s="15"/>
      <c r="C6" s="16"/>
      <c r="D6" s="9"/>
      <c r="F6" s="9"/>
      <c r="G6" s="6"/>
      <c r="H6" s="6"/>
      <c r="I6" s="6"/>
      <c r="J6" s="6"/>
    </row>
    <row r="7" spans="2:11" s="10" customFormat="1" ht="40.5" customHeight="1">
      <c r="B7" s="689" t="s">
        <v>6</v>
      </c>
      <c r="C7" s="689"/>
      <c r="D7" s="689"/>
      <c r="E7" s="689"/>
      <c r="F7" s="689"/>
      <c r="G7" s="689"/>
      <c r="H7" s="689"/>
      <c r="I7" s="689"/>
      <c r="J7" s="689"/>
      <c r="K7" s="689"/>
    </row>
    <row r="8" spans="2:11" s="10" customFormat="1" ht="7.5" customHeight="1">
      <c r="B8" s="42"/>
      <c r="C8" s="42"/>
      <c r="D8" s="42"/>
      <c r="E8" s="42"/>
      <c r="F8" s="42"/>
      <c r="G8" s="42"/>
      <c r="H8" s="42"/>
      <c r="I8" s="42"/>
      <c r="J8" s="42"/>
      <c r="K8" s="42"/>
    </row>
    <row r="9" spans="2:11" s="10" customFormat="1" ht="25.5" customHeight="1">
      <c r="B9" s="689" t="s">
        <v>202</v>
      </c>
      <c r="C9" s="690"/>
      <c r="D9" s="690"/>
      <c r="E9" s="690"/>
      <c r="F9" s="690"/>
      <c r="G9" s="690"/>
      <c r="H9" s="690"/>
      <c r="I9" s="690"/>
      <c r="J9" s="690"/>
      <c r="K9" s="690"/>
    </row>
    <row r="10" spans="2:11" s="10" customFormat="1" ht="4.5" customHeight="1">
      <c r="B10" s="129"/>
      <c r="C10" s="129"/>
      <c r="D10" s="129"/>
      <c r="E10" s="129"/>
      <c r="F10" s="129"/>
      <c r="G10" s="129"/>
      <c r="H10" s="129"/>
      <c r="I10" s="129"/>
      <c r="J10" s="129"/>
      <c r="K10" s="129"/>
    </row>
    <row r="11" spans="2:11" s="2" customFormat="1" ht="26.25" customHeight="1">
      <c r="B11" s="691" t="s">
        <v>585</v>
      </c>
      <c r="C11" s="691"/>
      <c r="D11" s="691"/>
      <c r="E11" s="691"/>
      <c r="F11" s="691"/>
      <c r="G11" s="691"/>
      <c r="H11" s="691"/>
      <c r="I11" s="691"/>
      <c r="J11" s="691"/>
      <c r="K11" s="691"/>
    </row>
    <row r="12" spans="2:11" s="10" customFormat="1" ht="4.5" customHeight="1">
      <c r="B12" s="42"/>
      <c r="C12" s="42"/>
      <c r="D12" s="42"/>
      <c r="E12" s="42"/>
      <c r="F12" s="42"/>
      <c r="G12" s="42"/>
      <c r="H12" s="42"/>
      <c r="I12" s="42"/>
      <c r="J12" s="42"/>
      <c r="K12" s="42"/>
    </row>
    <row r="13" spans="2:11" s="10" customFormat="1" ht="18.75" customHeight="1">
      <c r="B13" s="685" t="s">
        <v>201</v>
      </c>
      <c r="C13" s="685"/>
      <c r="D13" s="685"/>
      <c r="E13" s="685"/>
      <c r="F13" s="685"/>
      <c r="G13" s="685"/>
      <c r="H13" s="685"/>
      <c r="I13" s="685"/>
      <c r="J13" s="685"/>
      <c r="K13" s="685"/>
    </row>
    <row r="14" spans="2:11" s="10" customFormat="1" ht="4.5" customHeight="1">
      <c r="B14" s="42"/>
      <c r="C14" s="42"/>
      <c r="D14" s="42"/>
      <c r="E14" s="42"/>
      <c r="F14" s="42"/>
      <c r="G14" s="42"/>
      <c r="H14" s="42"/>
      <c r="I14" s="42"/>
      <c r="J14" s="42"/>
      <c r="K14" s="42"/>
    </row>
    <row r="15" spans="2:11" s="53" customFormat="1" ht="26.25" customHeight="1">
      <c r="B15" s="692" t="s">
        <v>206</v>
      </c>
      <c r="C15" s="692"/>
      <c r="D15" s="692"/>
      <c r="E15" s="692"/>
      <c r="F15" s="692"/>
      <c r="G15" s="692"/>
      <c r="H15" s="692"/>
      <c r="I15" s="692"/>
      <c r="J15" s="692"/>
      <c r="K15" s="692"/>
    </row>
    <row r="16" spans="2:11" s="10" customFormat="1" ht="4.5" customHeight="1">
      <c r="B16" s="42"/>
      <c r="C16" s="42"/>
      <c r="D16" s="42"/>
      <c r="E16" s="42"/>
      <c r="F16" s="42"/>
      <c r="G16" s="42"/>
      <c r="H16" s="42"/>
      <c r="I16" s="42"/>
      <c r="J16" s="42"/>
      <c r="K16" s="42"/>
    </row>
    <row r="17" spans="2:11" s="10" customFormat="1" ht="29.25" customHeight="1">
      <c r="B17" s="689" t="s">
        <v>49</v>
      </c>
      <c r="C17" s="689"/>
      <c r="D17" s="689"/>
      <c r="E17" s="689"/>
      <c r="F17" s="689"/>
      <c r="G17" s="689"/>
      <c r="H17" s="689"/>
      <c r="I17" s="689"/>
      <c r="J17" s="689"/>
      <c r="K17" s="689"/>
    </row>
    <row r="18" spans="2:11" s="10" customFormat="1" ht="4.5" customHeight="1">
      <c r="B18" s="129"/>
      <c r="C18" s="129"/>
      <c r="D18" s="129"/>
      <c r="E18" s="129"/>
      <c r="F18" s="129"/>
      <c r="G18" s="129"/>
      <c r="H18" s="129"/>
      <c r="I18" s="129"/>
      <c r="J18" s="129"/>
      <c r="K18" s="129"/>
    </row>
    <row r="19" spans="2:11" s="10" customFormat="1" ht="26.25" customHeight="1">
      <c r="B19" s="689" t="s">
        <v>222</v>
      </c>
      <c r="C19" s="689"/>
      <c r="D19" s="689"/>
      <c r="E19" s="689"/>
      <c r="F19" s="689"/>
      <c r="G19" s="689"/>
      <c r="H19" s="689"/>
      <c r="I19" s="689"/>
      <c r="J19" s="689"/>
      <c r="K19" s="689"/>
    </row>
    <row r="20" spans="2:11" s="10" customFormat="1" ht="4.5" customHeight="1">
      <c r="B20" s="122"/>
      <c r="C20" s="122"/>
      <c r="D20" s="122"/>
      <c r="E20" s="122"/>
      <c r="F20" s="122"/>
      <c r="G20" s="122"/>
      <c r="H20" s="122"/>
      <c r="I20" s="122"/>
      <c r="J20" s="122"/>
      <c r="K20" s="122"/>
    </row>
    <row r="21" spans="2:11" s="10" customFormat="1" ht="18.75" customHeight="1">
      <c r="B21" s="689" t="s">
        <v>207</v>
      </c>
      <c r="C21" s="689"/>
      <c r="D21" s="689"/>
      <c r="E21" s="689"/>
      <c r="F21" s="689"/>
      <c r="G21" s="689"/>
      <c r="H21" s="689"/>
      <c r="I21" s="689"/>
      <c r="J21" s="689"/>
      <c r="K21" s="689"/>
    </row>
    <row r="22" spans="2:11" s="10" customFormat="1" ht="26.25" customHeight="1">
      <c r="B22" s="699" t="s">
        <v>85</v>
      </c>
      <c r="C22" s="699"/>
      <c r="D22" s="699"/>
      <c r="E22" s="699"/>
      <c r="F22" s="699"/>
      <c r="G22" s="699"/>
      <c r="H22" s="699"/>
      <c r="I22" s="699"/>
      <c r="J22" s="699"/>
      <c r="K22" s="699"/>
    </row>
    <row r="23" spans="2:11" s="10" customFormat="1" ht="6.75" customHeight="1">
      <c r="B23" s="131"/>
      <c r="C23" s="42"/>
      <c r="D23" s="42"/>
      <c r="E23" s="42"/>
      <c r="F23" s="42"/>
      <c r="G23" s="42"/>
      <c r="H23" s="42"/>
      <c r="I23" s="42"/>
      <c r="J23" s="42"/>
      <c r="K23" s="42"/>
    </row>
    <row r="24" spans="2:11" s="10" customFormat="1" ht="38.25" customHeight="1">
      <c r="B24" s="689" t="s">
        <v>119</v>
      </c>
      <c r="C24" s="689"/>
      <c r="D24" s="689"/>
      <c r="E24" s="707"/>
      <c r="F24" s="707"/>
      <c r="G24" s="707"/>
      <c r="H24" s="707"/>
      <c r="I24" s="707"/>
      <c r="J24" s="707"/>
      <c r="K24" s="707"/>
    </row>
    <row r="25" spans="2:11" ht="10.5" customHeight="1">
      <c r="B25" s="122"/>
      <c r="C25" s="122"/>
      <c r="D25" s="122"/>
      <c r="E25" s="122"/>
      <c r="F25" s="122"/>
      <c r="G25" s="122"/>
      <c r="H25" s="122"/>
      <c r="I25" s="122"/>
      <c r="J25" s="122"/>
      <c r="K25" s="122"/>
    </row>
    <row r="26" spans="2:11" s="10" customFormat="1" ht="8.25" customHeight="1">
      <c r="B26" s="689"/>
      <c r="C26" s="706"/>
      <c r="D26" s="706"/>
      <c r="E26" s="706"/>
      <c r="F26" s="706"/>
      <c r="G26" s="706"/>
      <c r="H26" s="706"/>
      <c r="I26" s="706"/>
      <c r="J26" s="706"/>
      <c r="K26" s="706"/>
    </row>
    <row r="27" spans="2:11" ht="0.75" customHeight="1">
      <c r="B27" s="183"/>
      <c r="C27" s="184"/>
      <c r="D27" s="184"/>
      <c r="E27" s="184"/>
      <c r="F27" s="184"/>
      <c r="G27" s="184"/>
      <c r="H27" s="184"/>
      <c r="I27" s="184"/>
      <c r="J27" s="184"/>
      <c r="K27" s="185"/>
    </row>
    <row r="28" spans="2:11" s="19" customFormat="1" ht="15">
      <c r="B28" s="697" t="s">
        <v>374</v>
      </c>
      <c r="C28" s="698"/>
      <c r="D28" s="698"/>
      <c r="E28" s="698"/>
      <c r="F28" s="698"/>
      <c r="G28" s="698"/>
      <c r="H28" s="698"/>
      <c r="I28" s="698"/>
      <c r="J28" s="698"/>
      <c r="K28" s="698"/>
    </row>
    <row r="29" spans="2:11" ht="7.5" customHeight="1">
      <c r="B29" s="95"/>
      <c r="C29" s="40"/>
      <c r="D29" s="95"/>
      <c r="E29" s="40"/>
      <c r="F29" s="95"/>
      <c r="G29" s="40"/>
      <c r="H29" s="95"/>
      <c r="I29" s="40"/>
      <c r="J29" s="95"/>
      <c r="K29" s="40"/>
    </row>
    <row r="30" spans="2:11" ht="7.5" customHeight="1">
      <c r="B30" s="693"/>
      <c r="C30" s="693"/>
      <c r="D30" s="693"/>
      <c r="E30" s="693"/>
      <c r="F30" s="693"/>
      <c r="G30" s="693"/>
      <c r="H30" s="693"/>
      <c r="I30" s="693"/>
      <c r="J30" s="693"/>
      <c r="K30" s="693"/>
    </row>
    <row r="31" spans="2:11" s="53" customFormat="1" ht="15.75" customHeight="1">
      <c r="B31" s="133" t="s">
        <v>375</v>
      </c>
      <c r="C31" s="691" t="s">
        <v>208</v>
      </c>
      <c r="D31" s="691"/>
      <c r="E31" s="691"/>
      <c r="F31" s="691"/>
      <c r="G31" s="691"/>
      <c r="H31" s="691"/>
      <c r="I31" s="691"/>
      <c r="J31" s="691"/>
      <c r="K31" s="691"/>
    </row>
    <row r="32" spans="2:11" s="53" customFormat="1" ht="26.25" customHeight="1">
      <c r="B32" s="133" t="s">
        <v>375</v>
      </c>
      <c r="C32" s="681" t="s">
        <v>58</v>
      </c>
      <c r="D32" s="681"/>
      <c r="E32" s="681"/>
      <c r="F32" s="681"/>
      <c r="G32" s="681"/>
      <c r="H32" s="681"/>
      <c r="I32" s="681"/>
      <c r="J32" s="681"/>
      <c r="K32" s="681"/>
    </row>
    <row r="33" spans="2:11" s="43" customFormat="1" ht="51" customHeight="1">
      <c r="B33" s="133" t="s">
        <v>375</v>
      </c>
      <c r="C33" s="681" t="s">
        <v>120</v>
      </c>
      <c r="D33" s="681"/>
      <c r="E33" s="681"/>
      <c r="F33" s="681"/>
      <c r="G33" s="681"/>
      <c r="H33" s="681"/>
      <c r="I33" s="681"/>
      <c r="J33" s="681"/>
      <c r="K33" s="681"/>
    </row>
    <row r="34" spans="2:11" s="53" customFormat="1" ht="26.25" customHeight="1">
      <c r="B34" s="134" t="s">
        <v>375</v>
      </c>
      <c r="C34" s="684" t="s">
        <v>156</v>
      </c>
      <c r="D34" s="684"/>
      <c r="E34" s="684"/>
      <c r="F34" s="684"/>
      <c r="G34" s="684"/>
      <c r="H34" s="684"/>
      <c r="I34" s="684"/>
      <c r="J34" s="684"/>
      <c r="K34" s="684"/>
    </row>
    <row r="35" spans="2:11" s="10" customFormat="1" ht="24.75" customHeight="1">
      <c r="B35" s="134" t="s">
        <v>375</v>
      </c>
      <c r="C35" s="703" t="s">
        <v>247</v>
      </c>
      <c r="D35" s="703"/>
      <c r="E35" s="703"/>
      <c r="F35" s="703"/>
      <c r="G35" s="703"/>
      <c r="H35" s="703"/>
      <c r="I35" s="703"/>
      <c r="J35" s="703"/>
      <c r="K35" s="703"/>
    </row>
    <row r="36" spans="2:11" s="53" customFormat="1" ht="27.75" customHeight="1">
      <c r="B36" s="134" t="s">
        <v>375</v>
      </c>
      <c r="C36" s="688" t="s">
        <v>209</v>
      </c>
      <c r="D36" s="688"/>
      <c r="E36" s="688"/>
      <c r="F36" s="688"/>
      <c r="G36" s="688"/>
      <c r="H36" s="688"/>
      <c r="I36" s="688"/>
      <c r="J36" s="688"/>
      <c r="K36" s="688"/>
    </row>
    <row r="37" spans="2:11" s="10" customFormat="1" ht="15.75" customHeight="1">
      <c r="B37" s="134" t="s">
        <v>375</v>
      </c>
      <c r="C37" s="685" t="s">
        <v>210</v>
      </c>
      <c r="D37" s="685"/>
      <c r="E37" s="685"/>
      <c r="F37" s="685"/>
      <c r="G37" s="685"/>
      <c r="H37" s="685"/>
      <c r="I37" s="685"/>
      <c r="J37" s="685"/>
      <c r="K37" s="685"/>
    </row>
    <row r="38" spans="2:11" s="53" customFormat="1" ht="15.75" customHeight="1">
      <c r="B38" s="134" t="s">
        <v>375</v>
      </c>
      <c r="C38" s="686" t="s">
        <v>211</v>
      </c>
      <c r="D38" s="686"/>
      <c r="E38" s="686"/>
      <c r="F38" s="686"/>
      <c r="G38" s="686"/>
      <c r="H38" s="686"/>
      <c r="I38" s="686"/>
      <c r="J38" s="686"/>
      <c r="K38" s="686"/>
    </row>
    <row r="39" spans="2:11" s="53" customFormat="1" ht="14.25" customHeight="1">
      <c r="B39" s="134" t="s">
        <v>375</v>
      </c>
      <c r="C39" s="686" t="s">
        <v>43</v>
      </c>
      <c r="D39" s="686"/>
      <c r="E39" s="686"/>
      <c r="F39" s="686"/>
      <c r="G39" s="686"/>
      <c r="H39" s="686"/>
      <c r="I39" s="686"/>
      <c r="J39" s="686"/>
      <c r="K39" s="686"/>
    </row>
    <row r="40" spans="2:11" s="10" customFormat="1" ht="10.5" customHeight="1">
      <c r="B40" s="134"/>
      <c r="C40" s="685"/>
      <c r="D40" s="685"/>
      <c r="E40" s="685"/>
      <c r="F40" s="685"/>
      <c r="G40" s="685"/>
      <c r="H40" s="685"/>
      <c r="I40" s="685"/>
      <c r="J40" s="685"/>
      <c r="K40" s="685"/>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704" t="s">
        <v>586</v>
      </c>
      <c r="D46" s="704"/>
      <c r="E46" s="704"/>
      <c r="F46" s="704"/>
      <c r="G46" s="704"/>
      <c r="H46" s="704"/>
      <c r="I46" s="704"/>
      <c r="J46" s="704"/>
      <c r="K46" s="704"/>
    </row>
    <row r="47" spans="2:11" s="40" customFormat="1" ht="9.75" customHeight="1">
      <c r="B47" s="142"/>
      <c r="C47" s="143"/>
      <c r="D47" s="144"/>
      <c r="E47" s="144"/>
      <c r="F47" s="144"/>
      <c r="G47" s="144"/>
      <c r="H47" s="144"/>
      <c r="I47" s="144"/>
      <c r="J47" s="144"/>
      <c r="K47" s="144"/>
    </row>
    <row r="48" spans="2:11" s="19" customFormat="1" ht="15.75" customHeight="1">
      <c r="B48" s="682" t="s">
        <v>564</v>
      </c>
      <c r="C48" s="683"/>
      <c r="D48" s="683"/>
      <c r="E48" s="683"/>
      <c r="F48" s="683"/>
      <c r="G48" s="683"/>
      <c r="H48" s="683"/>
      <c r="I48" s="683"/>
      <c r="J48" s="683"/>
      <c r="K48" s="683"/>
    </row>
    <row r="49" spans="2:11" ht="7.5" customHeight="1">
      <c r="B49" s="11"/>
      <c r="C49" s="11"/>
      <c r="D49" s="150"/>
      <c r="E49" s="150"/>
      <c r="F49" s="11"/>
      <c r="G49" s="150"/>
      <c r="H49" s="150"/>
      <c r="I49" s="150"/>
      <c r="J49" s="150"/>
      <c r="K49" s="132"/>
    </row>
    <row r="50" spans="2:12" ht="24" customHeight="1">
      <c r="B50" s="700" t="s">
        <v>205</v>
      </c>
      <c r="C50" s="701"/>
      <c r="D50" s="701"/>
      <c r="E50" s="701"/>
      <c r="F50" s="701"/>
      <c r="G50" s="701"/>
      <c r="H50" s="701"/>
      <c r="I50" s="701"/>
      <c r="J50" s="701"/>
      <c r="K50" s="702"/>
      <c r="L50" s="24"/>
    </row>
    <row r="51" spans="2:11" ht="77.25" customHeight="1">
      <c r="B51" s="694" t="s">
        <v>296</v>
      </c>
      <c r="C51" s="695"/>
      <c r="D51" s="695"/>
      <c r="E51" s="695"/>
      <c r="F51" s="695"/>
      <c r="G51" s="695"/>
      <c r="H51" s="695"/>
      <c r="I51" s="695"/>
      <c r="J51" s="695"/>
      <c r="K51" s="696"/>
    </row>
    <row r="52" spans="2:11" ht="24" customHeight="1">
      <c r="B52" s="700" t="s">
        <v>101</v>
      </c>
      <c r="C52" s="701"/>
      <c r="D52" s="701"/>
      <c r="E52" s="701"/>
      <c r="F52" s="701"/>
      <c r="G52" s="701"/>
      <c r="H52" s="701"/>
      <c r="I52" s="701"/>
      <c r="J52" s="701"/>
      <c r="K52" s="702"/>
    </row>
    <row r="53" spans="2:11" ht="79.5" customHeight="1">
      <c r="B53" s="694" t="s">
        <v>254</v>
      </c>
      <c r="C53" s="695"/>
      <c r="D53" s="695"/>
      <c r="E53" s="695"/>
      <c r="F53" s="695"/>
      <c r="G53" s="695"/>
      <c r="H53" s="695"/>
      <c r="I53" s="695"/>
      <c r="J53" s="695"/>
      <c r="K53" s="696"/>
    </row>
    <row r="54" spans="2:11" ht="24" customHeight="1">
      <c r="B54" s="700" t="s">
        <v>232</v>
      </c>
      <c r="C54" s="701"/>
      <c r="D54" s="701"/>
      <c r="E54" s="701"/>
      <c r="F54" s="701"/>
      <c r="G54" s="701"/>
      <c r="H54" s="701"/>
      <c r="I54" s="701"/>
      <c r="J54" s="701"/>
      <c r="K54" s="702"/>
    </row>
    <row r="55" spans="2:11" ht="52.5" customHeight="1">
      <c r="B55" s="694" t="s">
        <v>122</v>
      </c>
      <c r="C55" s="695"/>
      <c r="D55" s="695"/>
      <c r="E55" s="695"/>
      <c r="F55" s="695"/>
      <c r="G55" s="695"/>
      <c r="H55" s="695"/>
      <c r="I55" s="695"/>
      <c r="J55" s="695"/>
      <c r="K55" s="696"/>
    </row>
    <row r="56" spans="2:11" ht="24" customHeight="1">
      <c r="B56" s="700" t="s">
        <v>144</v>
      </c>
      <c r="C56" s="701"/>
      <c r="D56" s="701"/>
      <c r="E56" s="701"/>
      <c r="F56" s="701"/>
      <c r="G56" s="701"/>
      <c r="H56" s="701"/>
      <c r="I56" s="701"/>
      <c r="J56" s="701"/>
      <c r="K56" s="702"/>
    </row>
    <row r="57" spans="2:11" ht="51.75" customHeight="1">
      <c r="B57" s="694" t="s">
        <v>242</v>
      </c>
      <c r="C57" s="695"/>
      <c r="D57" s="695"/>
      <c r="E57" s="695"/>
      <c r="F57" s="695"/>
      <c r="G57" s="695"/>
      <c r="H57" s="695"/>
      <c r="I57" s="695"/>
      <c r="J57" s="695"/>
      <c r="K57" s="696"/>
    </row>
    <row r="58" spans="2:11" ht="24" customHeight="1">
      <c r="B58" s="700" t="s">
        <v>145</v>
      </c>
      <c r="C58" s="701"/>
      <c r="D58" s="701"/>
      <c r="E58" s="701"/>
      <c r="F58" s="701"/>
      <c r="G58" s="701"/>
      <c r="H58" s="701"/>
      <c r="I58" s="701"/>
      <c r="J58" s="701"/>
      <c r="K58" s="702"/>
    </row>
    <row r="59" spans="2:11" ht="27" customHeight="1">
      <c r="B59" s="694" t="s">
        <v>12</v>
      </c>
      <c r="C59" s="695"/>
      <c r="D59" s="695"/>
      <c r="E59" s="695"/>
      <c r="F59" s="695"/>
      <c r="G59" s="695"/>
      <c r="H59" s="695"/>
      <c r="I59" s="695"/>
      <c r="J59" s="695"/>
      <c r="K59" s="696"/>
    </row>
    <row r="60" spans="2:11" s="19" customFormat="1" ht="24" customHeight="1">
      <c r="B60" s="700" t="s">
        <v>233</v>
      </c>
      <c r="C60" s="701"/>
      <c r="D60" s="701"/>
      <c r="E60" s="701"/>
      <c r="F60" s="701"/>
      <c r="G60" s="701"/>
      <c r="H60" s="701"/>
      <c r="I60" s="701"/>
      <c r="J60" s="701"/>
      <c r="K60" s="702"/>
    </row>
    <row r="61" spans="2:11" ht="52.5" customHeight="1">
      <c r="B61" s="694" t="s">
        <v>123</v>
      </c>
      <c r="C61" s="695"/>
      <c r="D61" s="695"/>
      <c r="E61" s="695"/>
      <c r="F61" s="695"/>
      <c r="G61" s="695"/>
      <c r="H61" s="695"/>
      <c r="I61" s="695"/>
      <c r="J61" s="695"/>
      <c r="K61" s="696"/>
    </row>
    <row r="62" spans="2:11" ht="24" customHeight="1">
      <c r="B62" s="135"/>
      <c r="C62" s="135"/>
      <c r="D62" s="135"/>
      <c r="E62" s="135"/>
      <c r="F62" s="135"/>
      <c r="G62" s="135"/>
      <c r="H62" s="135"/>
      <c r="I62" s="135"/>
      <c r="J62" s="135"/>
      <c r="K62" s="135"/>
    </row>
    <row r="63" spans="2:11" ht="15.75" customHeight="1">
      <c r="B63" s="687" t="s">
        <v>328</v>
      </c>
      <c r="C63" s="687"/>
      <c r="D63" s="687"/>
      <c r="E63" s="687"/>
      <c r="F63" s="687"/>
      <c r="G63" s="687"/>
      <c r="H63" s="687"/>
      <c r="I63" s="687"/>
      <c r="J63" s="687"/>
      <c r="K63" s="687"/>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B61:K61"/>
    <mergeCell ref="B55:K55"/>
    <mergeCell ref="B57:K57"/>
    <mergeCell ref="B60:K60"/>
    <mergeCell ref="B59:K59"/>
    <mergeCell ref="B58:K58"/>
    <mergeCell ref="B3:K3"/>
    <mergeCell ref="B26:K26"/>
    <mergeCell ref="B17:K17"/>
    <mergeCell ref="B21:K21"/>
    <mergeCell ref="B5:K5"/>
    <mergeCell ref="B7:K7"/>
    <mergeCell ref="B24:K24"/>
    <mergeCell ref="B19:K19"/>
    <mergeCell ref="B28:K28"/>
    <mergeCell ref="B22:K22"/>
    <mergeCell ref="B54:K54"/>
    <mergeCell ref="B56:K56"/>
    <mergeCell ref="B53:K53"/>
    <mergeCell ref="C39:K39"/>
    <mergeCell ref="C35:K35"/>
    <mergeCell ref="B52:K52"/>
    <mergeCell ref="C46:K46"/>
    <mergeCell ref="B50:K50"/>
    <mergeCell ref="B63:K63"/>
    <mergeCell ref="C36:K36"/>
    <mergeCell ref="B9:K9"/>
    <mergeCell ref="B11:K11"/>
    <mergeCell ref="B13:K13"/>
    <mergeCell ref="B15:K15"/>
    <mergeCell ref="B30:K30"/>
    <mergeCell ref="B51:K51"/>
    <mergeCell ref="C31:K31"/>
    <mergeCell ref="C33:K33"/>
    <mergeCell ref="C32:K32"/>
    <mergeCell ref="B48:K48"/>
    <mergeCell ref="C34:K34"/>
    <mergeCell ref="C40:K40"/>
    <mergeCell ref="C38:K38"/>
    <mergeCell ref="C37:K37"/>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B1">
      <selection activeCell="D47" sqref="D47"/>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08" t="s">
        <v>367</v>
      </c>
      <c r="C3" s="708"/>
      <c r="D3" s="708"/>
    </row>
    <row r="4" spans="2:4" ht="12.75" customHeight="1">
      <c r="B4" s="104"/>
      <c r="C4" s="151"/>
      <c r="D4" s="152"/>
    </row>
    <row r="5" spans="2:4" ht="15">
      <c r="B5" s="709" t="s">
        <v>154</v>
      </c>
      <c r="C5" s="709"/>
      <c r="D5" s="709"/>
    </row>
    <row r="6" spans="2:7" s="11" customFormat="1" ht="40.5" customHeight="1" thickBot="1">
      <c r="B6" s="711" t="s">
        <v>213</v>
      </c>
      <c r="C6" s="712"/>
      <c r="D6" s="712"/>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10" t="s">
        <v>365</v>
      </c>
      <c r="C14" s="710"/>
      <c r="D14" s="710"/>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36" t="s">
        <v>229</v>
      </c>
      <c r="E2" s="736"/>
      <c r="F2" s="736"/>
      <c r="G2" s="736"/>
      <c r="H2" s="736"/>
      <c r="I2" s="736"/>
      <c r="J2" s="736"/>
      <c r="K2" s="736"/>
      <c r="L2" s="736"/>
      <c r="M2" s="736"/>
      <c r="N2" s="736"/>
      <c r="O2" s="736"/>
      <c r="P2" s="736"/>
      <c r="Q2" s="736"/>
      <c r="R2" s="736"/>
      <c r="S2" s="736"/>
      <c r="T2" s="736"/>
      <c r="U2" s="736"/>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737" t="s">
        <v>312</v>
      </c>
      <c r="E3" s="737"/>
      <c r="F3" s="737"/>
      <c r="G3" s="737"/>
      <c r="H3" s="737"/>
      <c r="I3" s="737"/>
      <c r="J3" s="737"/>
      <c r="K3" s="737"/>
      <c r="L3" s="737"/>
      <c r="M3" s="737"/>
      <c r="N3" s="737"/>
      <c r="O3" s="737"/>
      <c r="P3" s="737"/>
      <c r="Q3" s="737"/>
      <c r="R3" s="737"/>
      <c r="S3" s="737"/>
      <c r="T3" s="737"/>
      <c r="U3" s="737"/>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38" t="str">
        <f>LEFT('W1'!D10,LEN('W1'!D10)-7)&amp;" (W1,3)"</f>
        <v>Internal flow (W1,3)</v>
      </c>
      <c r="G10" s="739"/>
      <c r="H10" s="86"/>
      <c r="J10" s="86"/>
      <c r="K10" s="86"/>
      <c r="L10" s="86"/>
      <c r="M10" s="86"/>
      <c r="N10" s="86"/>
      <c r="O10" s="724" t="s">
        <v>86</v>
      </c>
      <c r="P10" s="732" t="s">
        <v>94</v>
      </c>
      <c r="Q10" s="733"/>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21" t="str">
        <f>'W1'!D13&amp;" (W1,6)"</f>
        <v>Outflow of surface and groundwaters to neighbouring countries (W1,6)</v>
      </c>
      <c r="J11" s="722"/>
      <c r="K11" s="723"/>
      <c r="L11" s="89"/>
      <c r="M11" s="86"/>
      <c r="N11" s="86"/>
      <c r="O11" s="725"/>
      <c r="P11" s="734"/>
      <c r="Q11" s="735"/>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21" t="str">
        <f>'W1'!D16&amp;" (W1,9)"</f>
        <v>Outflow of surface and groundwaters to the sea (W1,9)</v>
      </c>
      <c r="J13" s="722"/>
      <c r="K13" s="723"/>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15" t="str">
        <f>'W2'!D11</f>
        <v>of which abstracted by:</v>
      </c>
      <c r="E15" s="716"/>
      <c r="F15" s="716"/>
      <c r="G15" s="716"/>
      <c r="H15" s="716"/>
      <c r="I15" s="717"/>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18" t="str">
        <f>LEFT('W2'!D10,LEN('W2'!D10)-7)&amp;" (W2,3)"</f>
        <v>Freshwater abstracted (W2,3)</v>
      </c>
      <c r="E19" s="719"/>
      <c r="F19" s="719"/>
      <c r="G19" s="719"/>
      <c r="H19" s="719"/>
      <c r="I19" s="720"/>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13" t="str">
        <f>'W2'!D18&amp;" (W2,10)"</f>
        <v>Desalinated water (W2,10)</v>
      </c>
      <c r="I21" s="714"/>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30" t="str">
        <f>LEFT('W2'!D22,LEN('W2'!D22)-17)&amp;" (W2,14)"</f>
        <v>Total freshwater available for use (W2,14)</v>
      </c>
      <c r="N22" s="86"/>
      <c r="O22" s="730"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13" t="str">
        <f>'W2'!D19&amp;" (W2,11)"</f>
        <v>Reused water (W2,11)</v>
      </c>
      <c r="I23" s="714"/>
      <c r="J23" s="86"/>
      <c r="K23" s="41"/>
      <c r="L23" s="86"/>
      <c r="M23" s="731"/>
      <c r="N23" s="86"/>
      <c r="O23" s="731"/>
      <c r="P23" s="728" t="str">
        <f>'W2'!D25</f>
        <v>of which used by:</v>
      </c>
      <c r="Q23" s="729"/>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13" t="str">
        <f>'W2'!D20&amp;" - "&amp;'W2'!D21&amp;" (= W2,12 - W2,13)"</f>
        <v>Imports of water - Exports of water (= W2,12 - W2,13)</v>
      </c>
      <c r="I25" s="714"/>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26"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27"/>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N26:N27"/>
    <mergeCell ref="P23:Q23"/>
    <mergeCell ref="M22:M23"/>
    <mergeCell ref="O22:O23"/>
    <mergeCell ref="P10:Q11"/>
    <mergeCell ref="D2:U2"/>
    <mergeCell ref="D3:U3"/>
    <mergeCell ref="F10:G10"/>
    <mergeCell ref="H23:I23"/>
    <mergeCell ref="H25:I25"/>
    <mergeCell ref="H21:I21"/>
    <mergeCell ref="D15:I15"/>
    <mergeCell ref="D19:I19"/>
    <mergeCell ref="I11:K11"/>
    <mergeCell ref="I13:K13"/>
    <mergeCell ref="O10:O11"/>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tabSelected="1" zoomScale="85" zoomScaleNormal="85" zoomScaleSheetLayoutView="85" zoomScalePageLayoutView="0" workbookViewId="0" topLeftCell="C1">
      <selection activeCell="H8" sqref="H8"/>
    </sheetView>
  </sheetViews>
  <sheetFormatPr defaultColWidth="9.33203125" defaultRowHeight="12.75"/>
  <cols>
    <col min="1" max="1" width="5.83203125" style="189" hidden="1" customWidth="1"/>
    <col min="2" max="2" width="6.832031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520</v>
      </c>
      <c r="C3" s="212" t="s">
        <v>358</v>
      </c>
      <c r="D3" s="609" t="s">
        <v>185</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t="s">
        <v>604</v>
      </c>
      <c r="AN3" s="332"/>
      <c r="AO3" s="333"/>
      <c r="AP3" s="333"/>
      <c r="AQ3" s="333"/>
      <c r="AR3" s="333"/>
      <c r="AS3" s="333"/>
      <c r="AT3" s="332"/>
      <c r="AU3" s="334"/>
      <c r="AV3" s="335"/>
      <c r="AW3" s="335"/>
      <c r="AX3" s="335"/>
      <c r="AY3" s="335"/>
      <c r="AZ3" s="335"/>
      <c r="BB3" s="219" t="s">
        <v>60</v>
      </c>
    </row>
    <row r="4" spans="3:54" ht="2.25" customHeight="1">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B4" s="220"/>
    </row>
    <row r="5" spans="1:104" s="226" customFormat="1" ht="17.25" customHeight="1">
      <c r="A5" s="221"/>
      <c r="B5" s="190">
        <v>1</v>
      </c>
      <c r="C5" s="752" t="s">
        <v>503</v>
      </c>
      <c r="D5" s="752"/>
      <c r="E5" s="753"/>
      <c r="F5" s="753"/>
      <c r="G5" s="753"/>
      <c r="H5" s="754"/>
      <c r="I5" s="754"/>
      <c r="J5" s="754"/>
      <c r="K5" s="754"/>
      <c r="L5" s="754"/>
      <c r="M5" s="754"/>
      <c r="N5" s="754"/>
      <c r="O5" s="754"/>
      <c r="P5" s="754"/>
      <c r="Q5" s="754"/>
      <c r="R5" s="754"/>
      <c r="S5" s="754"/>
      <c r="T5" s="754"/>
      <c r="U5" s="754"/>
      <c r="V5" s="754"/>
      <c r="W5" s="753"/>
      <c r="X5" s="754"/>
      <c r="Y5" s="753"/>
      <c r="Z5" s="754"/>
      <c r="AA5" s="753"/>
      <c r="AB5" s="754"/>
      <c r="AC5" s="753"/>
      <c r="AD5" s="754"/>
      <c r="AE5" s="753"/>
      <c r="AF5" s="754"/>
      <c r="AG5" s="753"/>
      <c r="AH5" s="754"/>
      <c r="AI5" s="754"/>
      <c r="AJ5" s="754"/>
      <c r="AK5" s="753"/>
      <c r="AL5" s="754"/>
      <c r="AM5" s="753"/>
      <c r="AN5" s="754"/>
      <c r="AO5" s="753"/>
      <c r="AP5" s="753"/>
      <c r="AQ5" s="753"/>
      <c r="AR5" s="753"/>
      <c r="AS5" s="753"/>
      <c r="AT5" s="754"/>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51"/>
      <c r="CX5" s="751"/>
      <c r="CY5" s="751"/>
      <c r="CZ5" s="751"/>
    </row>
    <row r="6" spans="5:106" ht="15.75" customHeight="1">
      <c r="E6" s="228"/>
      <c r="F6" s="229"/>
      <c r="Z6" s="233"/>
      <c r="AB6" s="765" t="s">
        <v>150</v>
      </c>
      <c r="AC6" s="766"/>
      <c r="AD6" s="766"/>
      <c r="AE6" s="766"/>
      <c r="AF6" s="766"/>
      <c r="AG6" s="766"/>
      <c r="AH6" s="766"/>
      <c r="AI6" s="766"/>
      <c r="AJ6" s="766"/>
      <c r="AK6" s="767"/>
      <c r="AL6" s="767"/>
      <c r="AM6" s="767"/>
      <c r="AN6" s="767"/>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v>42903</v>
      </c>
      <c r="G8" s="622" t="s">
        <v>609</v>
      </c>
      <c r="H8" s="610">
        <v>65289</v>
      </c>
      <c r="I8" s="622"/>
      <c r="J8" s="610"/>
      <c r="K8" s="622"/>
      <c r="L8" s="610"/>
      <c r="M8" s="622"/>
      <c r="N8" s="610"/>
      <c r="O8" s="622"/>
      <c r="P8" s="610"/>
      <c r="Q8" s="622"/>
      <c r="R8" s="610"/>
      <c r="S8" s="622"/>
      <c r="T8" s="610"/>
      <c r="U8" s="622"/>
      <c r="V8" s="610"/>
      <c r="W8" s="622"/>
      <c r="X8" s="610"/>
      <c r="Y8" s="622"/>
      <c r="Z8" s="610"/>
      <c r="AA8" s="622"/>
      <c r="AB8" s="610">
        <v>66935</v>
      </c>
      <c r="AC8" s="622"/>
      <c r="AD8" s="610">
        <v>58212</v>
      </c>
      <c r="AE8" s="622"/>
      <c r="AF8" s="610">
        <v>42462</v>
      </c>
      <c r="AG8" s="622"/>
      <c r="AH8" s="610">
        <v>18341</v>
      </c>
      <c r="AI8" s="622"/>
      <c r="AJ8" s="610">
        <v>7133</v>
      </c>
      <c r="AK8" s="622"/>
      <c r="AL8" s="610">
        <v>46202</v>
      </c>
      <c r="AM8" s="622"/>
      <c r="AN8" s="610">
        <v>22902</v>
      </c>
      <c r="AO8" s="622"/>
      <c r="AP8" s="610">
        <v>25628</v>
      </c>
      <c r="AQ8" s="622"/>
      <c r="AR8" s="610">
        <v>30775</v>
      </c>
      <c r="AS8" s="622"/>
      <c r="AT8" s="610"/>
      <c r="AU8" s="622"/>
      <c r="AV8" s="610">
        <v>60396</v>
      </c>
      <c r="AW8" s="622"/>
      <c r="AX8" s="610">
        <v>88683</v>
      </c>
      <c r="AY8" s="622"/>
      <c r="BA8" s="252"/>
      <c r="BB8" s="101">
        <v>1</v>
      </c>
      <c r="BC8" s="253" t="s">
        <v>92</v>
      </c>
      <c r="BD8" s="254" t="s">
        <v>93</v>
      </c>
      <c r="BE8" s="255" t="str">
        <f>IF(OR(ISERR(AVERAGE(H8:AX8)),ISBLANK(F8)),"N/A",IF(OR(F8&lt;AVERAGE(H8:AX8)*0.75,F8&gt;AVERAGE(H8:AX8)*1.25),"&lt;&gt;Average","ok"))</f>
        <v>ok</v>
      </c>
      <c r="BF8" s="646" t="s">
        <v>97</v>
      </c>
      <c r="BG8" s="101" t="str">
        <f>IF(OR(ISBLANK(H8),ISBLANK(J8)),"N/A",IF(ABS((J8-H8)/H8)&gt;1,"&gt; 100%","ok"))</f>
        <v>N/A</v>
      </c>
      <c r="BH8" s="646"/>
      <c r="BI8" s="82" t="str">
        <f>IF(OR(ISBLANK(L8),ISBLANK(J8)),"N/A",IF(ABS((L8-J8)/J8)&gt;0.25,"&gt; 25%","ok"))</f>
        <v>N/A</v>
      </c>
      <c r="BJ8" s="646"/>
      <c r="BK8" s="82" t="str">
        <f aca="true" t="shared" si="0" ref="BK8:CU8">IF(OR(ISBLANK(N8),ISBLANK(L8)),"N/A",IF(ABS((N8-L8)/L8)&gt;0.25,"&gt; 25%","ok"))</f>
        <v>N/A</v>
      </c>
      <c r="BL8" s="646"/>
      <c r="BM8" s="82" t="str">
        <f t="shared" si="0"/>
        <v>N/A</v>
      </c>
      <c r="BN8" s="646"/>
      <c r="BO8" s="82" t="str">
        <f t="shared" si="0"/>
        <v>N/A</v>
      </c>
      <c r="BP8" s="646"/>
      <c r="BQ8" s="82" t="str">
        <f t="shared" si="0"/>
        <v>N/A</v>
      </c>
      <c r="BR8" s="646"/>
      <c r="BS8" s="82" t="str">
        <f t="shared" si="0"/>
        <v>N/A</v>
      </c>
      <c r="BT8" s="646"/>
      <c r="BU8" s="82" t="str">
        <f t="shared" si="0"/>
        <v>N/A</v>
      </c>
      <c r="BV8" s="646"/>
      <c r="BW8" s="82" t="str">
        <f t="shared" si="0"/>
        <v>N/A</v>
      </c>
      <c r="BX8" s="646"/>
      <c r="BY8" s="82" t="str">
        <f t="shared" si="0"/>
        <v>N/A</v>
      </c>
      <c r="BZ8" s="646"/>
      <c r="CA8" s="82" t="str">
        <f t="shared" si="0"/>
        <v>ok</v>
      </c>
      <c r="CB8" s="646"/>
      <c r="CC8" s="82" t="str">
        <f t="shared" si="0"/>
        <v>&gt; 25%</v>
      </c>
      <c r="CD8" s="646"/>
      <c r="CE8" s="82" t="str">
        <f t="shared" si="0"/>
        <v>&gt; 25%</v>
      </c>
      <c r="CF8" s="646"/>
      <c r="CG8" s="82" t="str">
        <f t="shared" si="0"/>
        <v>&gt; 25%</v>
      </c>
      <c r="CH8" s="646"/>
      <c r="CI8" s="82" t="str">
        <f t="shared" si="0"/>
        <v>&gt; 25%</v>
      </c>
      <c r="CJ8" s="646"/>
      <c r="CK8" s="82" t="str">
        <f t="shared" si="0"/>
        <v>&gt; 25%</v>
      </c>
      <c r="CL8" s="646"/>
      <c r="CM8" s="82" t="str">
        <f t="shared" si="0"/>
        <v>ok</v>
      </c>
      <c r="CN8" s="646"/>
      <c r="CO8" s="82" t="str">
        <f t="shared" si="0"/>
        <v>ok</v>
      </c>
      <c r="CP8" s="646"/>
      <c r="CQ8" s="82" t="str">
        <f t="shared" si="0"/>
        <v>N/A</v>
      </c>
      <c r="CR8" s="646"/>
      <c r="CS8" s="82" t="str">
        <f t="shared" si="0"/>
        <v>N/A</v>
      </c>
      <c r="CT8" s="646"/>
      <c r="CU8" s="82" t="str">
        <f t="shared" si="0"/>
        <v>&gt; 25%</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v>25741.8</v>
      </c>
      <c r="G9" s="641" t="s">
        <v>610</v>
      </c>
      <c r="H9" s="641">
        <v>39173.4</v>
      </c>
      <c r="I9" s="641" t="s">
        <v>610</v>
      </c>
      <c r="J9" s="641"/>
      <c r="K9" s="641"/>
      <c r="L9" s="641"/>
      <c r="M9" s="641"/>
      <c r="N9" s="641"/>
      <c r="O9" s="641"/>
      <c r="P9" s="641"/>
      <c r="Q9" s="641"/>
      <c r="R9" s="641"/>
      <c r="S9" s="641"/>
      <c r="T9" s="641"/>
      <c r="U9" s="641"/>
      <c r="V9" s="641"/>
      <c r="W9" s="641"/>
      <c r="X9" s="641"/>
      <c r="Y9" s="641"/>
      <c r="Z9" s="641"/>
      <c r="AA9" s="641"/>
      <c r="AB9" s="641">
        <v>40161</v>
      </c>
      <c r="AC9" s="641" t="s">
        <v>610</v>
      </c>
      <c r="AD9" s="641">
        <v>34927.2</v>
      </c>
      <c r="AE9" s="641" t="s">
        <v>610</v>
      </c>
      <c r="AF9" s="641">
        <v>25477.2</v>
      </c>
      <c r="AG9" s="641" t="s">
        <v>610</v>
      </c>
      <c r="AH9" s="641">
        <v>11004.6</v>
      </c>
      <c r="AI9" s="641" t="s">
        <v>610</v>
      </c>
      <c r="AJ9" s="641">
        <v>4279.8</v>
      </c>
      <c r="AK9" s="641" t="s">
        <v>610</v>
      </c>
      <c r="AL9" s="641">
        <v>27721.2</v>
      </c>
      <c r="AM9" s="641" t="s">
        <v>610</v>
      </c>
      <c r="AN9" s="641">
        <v>13741.199999999999</v>
      </c>
      <c r="AO9" s="641" t="s">
        <v>610</v>
      </c>
      <c r="AP9" s="641">
        <v>15376.8</v>
      </c>
      <c r="AQ9" s="641" t="s">
        <v>610</v>
      </c>
      <c r="AR9" s="641">
        <v>18465</v>
      </c>
      <c r="AS9" s="641" t="s">
        <v>610</v>
      </c>
      <c r="AT9" s="641"/>
      <c r="AU9" s="641"/>
      <c r="AV9" s="641">
        <v>36237.6</v>
      </c>
      <c r="AW9" s="641" t="s">
        <v>610</v>
      </c>
      <c r="AX9" s="641">
        <v>53209.799999999996</v>
      </c>
      <c r="AY9" s="623" t="s">
        <v>610</v>
      </c>
      <c r="BA9" s="252"/>
      <c r="BB9" s="84">
        <v>2</v>
      </c>
      <c r="BC9" s="258" t="s">
        <v>561</v>
      </c>
      <c r="BD9" s="85" t="s">
        <v>93</v>
      </c>
      <c r="BE9" s="84" t="str">
        <f aca="true" t="shared" si="1" ref="BE9:BE16">IF(OR(ISERR(AVERAGE(H9:AV9)),ISBLANK(F9)),"N/A",IF(OR(F9&lt;AVERAGE(H9:AV9)*0.75,F9&gt;AVERAGE(H9:AV9)*1.25),"&lt;&gt;Average","ok"))</f>
        <v>ok</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N/A</v>
      </c>
      <c r="BR9" s="647"/>
      <c r="BS9" s="82" t="str">
        <f aca="true" t="shared" si="8" ref="BS9:BS16">IF(OR(ISBLANK(V9),ISBLANK(T9)),"N/A",IF(ABS((V9-T9)/T9)&gt;0.25,"&gt; 25%","ok"))</f>
        <v>N/A</v>
      </c>
      <c r="BT9" s="647"/>
      <c r="BU9" s="82" t="str">
        <f aca="true" t="shared" si="9" ref="BU9:BU16">IF(OR(ISBLANK(X9),ISBLANK(V9)),"N/A",IF(ABS((X9-V9)/V9)&gt;0.25,"&gt; 25%","ok"))</f>
        <v>N/A</v>
      </c>
      <c r="BV9" s="647"/>
      <c r="BW9" s="82" t="str">
        <f aca="true" t="shared" si="10" ref="BW9:BW16">IF(OR(ISBLANK(Z9),ISBLANK(X9)),"N/A",IF(ABS((Z9-X9)/X9)&gt;0.25,"&gt; 25%","ok"))</f>
        <v>N/A</v>
      </c>
      <c r="BX9" s="647"/>
      <c r="BY9" s="82" t="str">
        <f aca="true" t="shared" si="11" ref="BY9:BY16">IF(OR(ISBLANK(AB9),ISBLANK(Z9)),"N/A",IF(ABS((AB9-Z9)/Z9)&gt;0.25,"&gt; 25%","ok"))</f>
        <v>N/A</v>
      </c>
      <c r="BZ9" s="647"/>
      <c r="CA9" s="82" t="str">
        <f aca="true" t="shared" si="12" ref="CA9:CA16">IF(OR(ISBLANK(AD9),ISBLANK(AB9)),"N/A",IF(ABS((AD9-AB9)/AB9)&gt;0.25,"&gt; 25%","ok"))</f>
        <v>ok</v>
      </c>
      <c r="CB9" s="647"/>
      <c r="CC9" s="82" t="str">
        <f aca="true" t="shared" si="13" ref="CC9:CC16">IF(OR(ISBLANK(AF9),ISBLANK(AD9)),"N/A",IF(ABS((AF9-AD9)/AD9)&gt;0.25,"&gt; 25%","ok"))</f>
        <v>&gt; 25%</v>
      </c>
      <c r="CD9" s="647"/>
      <c r="CE9" s="82" t="str">
        <f aca="true" t="shared" si="14" ref="CE9:CE16">IF(OR(ISBLANK(AH9),ISBLANK(AF9)),"N/A",IF(ABS((AH9-AF9)/AF9)&gt;0.25,"&gt; 25%","ok"))</f>
        <v>&gt; 25%</v>
      </c>
      <c r="CF9" s="647"/>
      <c r="CG9" s="82" t="str">
        <f aca="true" t="shared" si="15" ref="CG9:CG16">IF(OR(ISBLANK(AJ9),ISBLANK(AH9)),"N/A",IF(ABS((AJ9-AH9)/AH9)&gt;0.25,"&gt; 25%","ok"))</f>
        <v>&gt; 25%</v>
      </c>
      <c r="CH9" s="647"/>
      <c r="CI9" s="82" t="str">
        <f aca="true" t="shared" si="16" ref="CI9:CI16">IF(OR(ISBLANK(AL9),ISBLANK(AJ9)),"N/A",IF(ABS((AL9-AJ9)/AJ9)&gt;0.25,"&gt; 25%","ok"))</f>
        <v>&gt; 25%</v>
      </c>
      <c r="CJ9" s="647"/>
      <c r="CK9" s="82" t="str">
        <f aca="true" t="shared" si="17" ref="CK9:CK16">IF(OR(ISBLANK(AN9),ISBLANK(AL9)),"N/A",IF(ABS((AN9-AL9)/AL9)&gt;0.25,"&gt; 25%","ok"))</f>
        <v>&gt; 25%</v>
      </c>
      <c r="CL9" s="647"/>
      <c r="CM9" s="82" t="str">
        <f aca="true" t="shared" si="18" ref="CM9:CM16">IF(OR(ISBLANK(AP9),ISBLANK(AN9)),"N/A",IF(ABS((AP9-AN9)/AN9)&gt;0.25,"&gt; 25%","ok"))</f>
        <v>ok</v>
      </c>
      <c r="CN9" s="647"/>
      <c r="CO9" s="82" t="str">
        <f aca="true" t="shared" si="19" ref="CO9:CO16">IF(OR(ISBLANK(AR9),ISBLANK(AP9)),"N/A",IF(ABS((AR9-AP9)/AP9)&gt;0.25,"&gt; 25%","ok"))</f>
        <v>ok</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&gt; 25%</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v>17161.2</v>
      </c>
      <c r="G10" s="641"/>
      <c r="H10" s="641">
        <v>26115.6</v>
      </c>
      <c r="I10" s="641"/>
      <c r="J10" s="641"/>
      <c r="K10" s="641"/>
      <c r="L10" s="641"/>
      <c r="M10" s="641"/>
      <c r="N10" s="641"/>
      <c r="O10" s="641"/>
      <c r="P10" s="641"/>
      <c r="Q10" s="641"/>
      <c r="R10" s="641"/>
      <c r="S10" s="641"/>
      <c r="T10" s="641"/>
      <c r="U10" s="641"/>
      <c r="V10" s="641"/>
      <c r="W10" s="641"/>
      <c r="X10" s="641"/>
      <c r="Y10" s="641"/>
      <c r="Z10" s="641"/>
      <c r="AA10" s="641"/>
      <c r="AB10" s="641">
        <v>26774</v>
      </c>
      <c r="AC10" s="641"/>
      <c r="AD10" s="641">
        <v>23284.800000000003</v>
      </c>
      <c r="AE10" s="641"/>
      <c r="AF10" s="641">
        <v>16984.8</v>
      </c>
      <c r="AG10" s="641"/>
      <c r="AH10" s="641">
        <v>7336.4</v>
      </c>
      <c r="AI10" s="641"/>
      <c r="AJ10" s="641">
        <v>2853.2</v>
      </c>
      <c r="AK10" s="641"/>
      <c r="AL10" s="641">
        <v>18480.8</v>
      </c>
      <c r="AM10" s="641"/>
      <c r="AN10" s="641">
        <v>9160.800000000001</v>
      </c>
      <c r="AO10" s="641"/>
      <c r="AP10" s="641">
        <v>10251.2</v>
      </c>
      <c r="AQ10" s="641"/>
      <c r="AR10" s="641">
        <v>12310</v>
      </c>
      <c r="AS10" s="641"/>
      <c r="AT10" s="641"/>
      <c r="AU10" s="641"/>
      <c r="AV10" s="641">
        <v>24158.4</v>
      </c>
      <c r="AW10" s="641"/>
      <c r="AX10" s="641">
        <v>35473.200000000004</v>
      </c>
      <c r="AY10" s="623"/>
      <c r="BA10" s="261"/>
      <c r="BB10" s="101">
        <v>3</v>
      </c>
      <c r="BC10" s="258" t="s">
        <v>23</v>
      </c>
      <c r="BD10" s="84" t="s">
        <v>93</v>
      </c>
      <c r="BE10" s="84" t="str">
        <f t="shared" si="1"/>
        <v>ok</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N/A</v>
      </c>
      <c r="BR10" s="647"/>
      <c r="BS10" s="82" t="str">
        <f t="shared" si="8"/>
        <v>N/A</v>
      </c>
      <c r="BT10" s="647"/>
      <c r="BU10" s="82" t="str">
        <f t="shared" si="9"/>
        <v>N/A</v>
      </c>
      <c r="BV10" s="647"/>
      <c r="BW10" s="82" t="str">
        <f t="shared" si="10"/>
        <v>N/A</v>
      </c>
      <c r="BX10" s="647"/>
      <c r="BY10" s="82" t="str">
        <f t="shared" si="11"/>
        <v>N/A</v>
      </c>
      <c r="BZ10" s="647"/>
      <c r="CA10" s="82" t="str">
        <f t="shared" si="12"/>
        <v>ok</v>
      </c>
      <c r="CB10" s="647"/>
      <c r="CC10" s="82" t="str">
        <f t="shared" si="13"/>
        <v>&gt; 25%</v>
      </c>
      <c r="CD10" s="647"/>
      <c r="CE10" s="82" t="str">
        <f t="shared" si="14"/>
        <v>&gt; 25%</v>
      </c>
      <c r="CF10" s="647"/>
      <c r="CG10" s="82" t="str">
        <f t="shared" si="15"/>
        <v>&gt; 25%</v>
      </c>
      <c r="CH10" s="647"/>
      <c r="CI10" s="82" t="str">
        <f t="shared" si="16"/>
        <v>&gt; 25%</v>
      </c>
      <c r="CJ10" s="647"/>
      <c r="CK10" s="82" t="str">
        <f t="shared" si="17"/>
        <v>&gt; 25%</v>
      </c>
      <c r="CL10" s="647"/>
      <c r="CM10" s="82" t="str">
        <f t="shared" si="18"/>
        <v>ok</v>
      </c>
      <c r="CN10" s="647"/>
      <c r="CO10" s="82" t="str">
        <f t="shared" si="19"/>
        <v>ok</v>
      </c>
      <c r="CP10" s="647"/>
      <c r="CQ10" s="82" t="str">
        <f t="shared" si="20"/>
        <v>N/A</v>
      </c>
      <c r="CR10" s="647"/>
      <c r="CS10" s="82" t="str">
        <f t="shared" si="21"/>
        <v>N/A</v>
      </c>
      <c r="CT10" s="647"/>
      <c r="CU10" s="82" t="str">
        <f t="shared" si="22"/>
        <v>&gt; 25%</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v>0</v>
      </c>
      <c r="G11" s="623"/>
      <c r="H11" s="641">
        <v>0</v>
      </c>
      <c r="I11" s="623"/>
      <c r="J11" s="641"/>
      <c r="K11" s="623"/>
      <c r="L11" s="641"/>
      <c r="M11" s="623"/>
      <c r="N11" s="641"/>
      <c r="O11" s="623"/>
      <c r="P11" s="641"/>
      <c r="Q11" s="623"/>
      <c r="R11" s="641"/>
      <c r="S11" s="623"/>
      <c r="T11" s="641"/>
      <c r="U11" s="623"/>
      <c r="V11" s="641"/>
      <c r="W11" s="623"/>
      <c r="X11" s="641"/>
      <c r="Y11" s="623"/>
      <c r="Z11" s="641"/>
      <c r="AA11" s="623"/>
      <c r="AB11" s="641">
        <v>0</v>
      </c>
      <c r="AC11" s="623"/>
      <c r="AD11" s="641">
        <v>0</v>
      </c>
      <c r="AE11" s="623"/>
      <c r="AF11" s="641">
        <v>0</v>
      </c>
      <c r="AG11" s="623"/>
      <c r="AH11" s="641">
        <v>0</v>
      </c>
      <c r="AI11" s="623"/>
      <c r="AJ11" s="641">
        <v>0</v>
      </c>
      <c r="AK11" s="623"/>
      <c r="AL11" s="641">
        <v>0</v>
      </c>
      <c r="AM11" s="623"/>
      <c r="AN11" s="641">
        <v>0</v>
      </c>
      <c r="AO11" s="623"/>
      <c r="AP11" s="641">
        <v>0</v>
      </c>
      <c r="AQ11" s="623"/>
      <c r="AR11" s="641">
        <v>0</v>
      </c>
      <c r="AS11" s="623"/>
      <c r="AT11" s="641">
        <v>0</v>
      </c>
      <c r="AU11" s="623"/>
      <c r="AV11" s="641">
        <v>0</v>
      </c>
      <c r="AW11" s="623"/>
      <c r="AX11" s="641">
        <v>0</v>
      </c>
      <c r="AY11" s="623"/>
      <c r="BA11" s="252"/>
      <c r="BB11" s="84">
        <v>4</v>
      </c>
      <c r="BC11" s="258" t="s">
        <v>246</v>
      </c>
      <c r="BD11" s="85" t="s">
        <v>93</v>
      </c>
      <c r="BE11" s="84" t="str">
        <f t="shared" si="1"/>
        <v>ok</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str">
        <f t="shared" si="9"/>
        <v>N/A</v>
      </c>
      <c r="BV11" s="647"/>
      <c r="BW11" s="82" t="str">
        <f t="shared" si="10"/>
        <v>N/A</v>
      </c>
      <c r="BX11" s="647"/>
      <c r="BY11" s="82" t="str">
        <f t="shared" si="11"/>
        <v>N/A</v>
      </c>
      <c r="BZ11" s="647"/>
      <c r="CA11" s="82" t="e">
        <f t="shared" si="12"/>
        <v>#DIV/0!</v>
      </c>
      <c r="CB11" s="647"/>
      <c r="CC11" s="82" t="e">
        <f t="shared" si="13"/>
        <v>#DIV/0!</v>
      </c>
      <c r="CD11" s="647"/>
      <c r="CE11" s="82" t="e">
        <f t="shared" si="14"/>
        <v>#DIV/0!</v>
      </c>
      <c r="CF11" s="647"/>
      <c r="CG11" s="82" t="e">
        <f t="shared" si="15"/>
        <v>#DIV/0!</v>
      </c>
      <c r="CH11" s="647"/>
      <c r="CI11" s="82" t="e">
        <f t="shared" si="16"/>
        <v>#DIV/0!</v>
      </c>
      <c r="CJ11" s="647"/>
      <c r="CK11" s="82" t="e">
        <f t="shared" si="17"/>
        <v>#DIV/0!</v>
      </c>
      <c r="CL11" s="647"/>
      <c r="CM11" s="82" t="e">
        <f t="shared" si="18"/>
        <v>#DIV/0!</v>
      </c>
      <c r="CN11" s="647"/>
      <c r="CO11" s="82" t="e">
        <f t="shared" si="19"/>
        <v>#DIV/0!</v>
      </c>
      <c r="CP11" s="647"/>
      <c r="CQ11" s="82" t="e">
        <f t="shared" si="20"/>
        <v>#DIV/0!</v>
      </c>
      <c r="CR11" s="647"/>
      <c r="CS11" s="82" t="e">
        <f t="shared" si="21"/>
        <v>#DIV/0!</v>
      </c>
      <c r="CT11" s="647"/>
      <c r="CU11" s="82" t="e">
        <f t="shared" si="22"/>
        <v>#DIV/0!</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v>17161.2</v>
      </c>
      <c r="G12" s="642"/>
      <c r="H12" s="642">
        <v>26115.6</v>
      </c>
      <c r="I12" s="642"/>
      <c r="J12" s="642"/>
      <c r="K12" s="642"/>
      <c r="L12" s="642"/>
      <c r="M12" s="642"/>
      <c r="N12" s="642"/>
      <c r="O12" s="642"/>
      <c r="P12" s="642"/>
      <c r="Q12" s="642"/>
      <c r="R12" s="642"/>
      <c r="S12" s="642"/>
      <c r="T12" s="642"/>
      <c r="U12" s="642"/>
      <c r="V12" s="642"/>
      <c r="W12" s="642"/>
      <c r="X12" s="642"/>
      <c r="Y12" s="642"/>
      <c r="Z12" s="642"/>
      <c r="AA12" s="642"/>
      <c r="AB12" s="642">
        <v>26774</v>
      </c>
      <c r="AC12" s="642"/>
      <c r="AD12" s="642">
        <v>23284.800000000003</v>
      </c>
      <c r="AE12" s="642"/>
      <c r="AF12" s="642">
        <v>16984.8</v>
      </c>
      <c r="AG12" s="642"/>
      <c r="AH12" s="642">
        <v>7336.4</v>
      </c>
      <c r="AI12" s="642"/>
      <c r="AJ12" s="642">
        <v>2853.2</v>
      </c>
      <c r="AK12" s="642"/>
      <c r="AL12" s="642">
        <v>18480.8</v>
      </c>
      <c r="AM12" s="642"/>
      <c r="AN12" s="642">
        <v>9160.800000000001</v>
      </c>
      <c r="AO12" s="642"/>
      <c r="AP12" s="642">
        <v>10251.2</v>
      </c>
      <c r="AQ12" s="642"/>
      <c r="AR12" s="642">
        <v>12310</v>
      </c>
      <c r="AS12" s="642"/>
      <c r="AT12" s="642"/>
      <c r="AU12" s="642"/>
      <c r="AV12" s="642">
        <v>24158.4</v>
      </c>
      <c r="AW12" s="642"/>
      <c r="AX12" s="642">
        <v>35473.200000000004</v>
      </c>
      <c r="AY12" s="624"/>
      <c r="BA12" s="261"/>
      <c r="BB12" s="101">
        <v>5</v>
      </c>
      <c r="BC12" s="267" t="s">
        <v>22</v>
      </c>
      <c r="BD12" s="85" t="s">
        <v>93</v>
      </c>
      <c r="BE12" s="84" t="str">
        <f t="shared" si="1"/>
        <v>ok</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N/A</v>
      </c>
      <c r="BR12" s="647"/>
      <c r="BS12" s="82" t="str">
        <f t="shared" si="8"/>
        <v>N/A</v>
      </c>
      <c r="BT12" s="647"/>
      <c r="BU12" s="82" t="str">
        <f t="shared" si="9"/>
        <v>N/A</v>
      </c>
      <c r="BV12" s="647"/>
      <c r="BW12" s="82" t="str">
        <f t="shared" si="10"/>
        <v>N/A</v>
      </c>
      <c r="BX12" s="647"/>
      <c r="BY12" s="82" t="str">
        <f t="shared" si="11"/>
        <v>N/A</v>
      </c>
      <c r="BZ12" s="647"/>
      <c r="CA12" s="82" t="str">
        <f t="shared" si="12"/>
        <v>ok</v>
      </c>
      <c r="CB12" s="647"/>
      <c r="CC12" s="82" t="str">
        <f t="shared" si="13"/>
        <v>&gt; 25%</v>
      </c>
      <c r="CD12" s="647"/>
      <c r="CE12" s="82" t="str">
        <f t="shared" si="14"/>
        <v>&gt; 25%</v>
      </c>
      <c r="CF12" s="647"/>
      <c r="CG12" s="82" t="str">
        <f t="shared" si="15"/>
        <v>&gt; 25%</v>
      </c>
      <c r="CH12" s="647"/>
      <c r="CI12" s="82" t="str">
        <f t="shared" si="16"/>
        <v>&gt; 25%</v>
      </c>
      <c r="CJ12" s="647"/>
      <c r="CK12" s="82" t="str">
        <f t="shared" si="17"/>
        <v>&gt; 25%</v>
      </c>
      <c r="CL12" s="647"/>
      <c r="CM12" s="82" t="str">
        <f t="shared" si="18"/>
        <v>ok</v>
      </c>
      <c r="CN12" s="647"/>
      <c r="CO12" s="82" t="str">
        <f t="shared" si="19"/>
        <v>ok</v>
      </c>
      <c r="CP12" s="647"/>
      <c r="CQ12" s="82" t="str">
        <f t="shared" si="20"/>
        <v>N/A</v>
      </c>
      <c r="CR12" s="647"/>
      <c r="CS12" s="82" t="str">
        <f t="shared" si="21"/>
        <v>N/A</v>
      </c>
      <c r="CT12" s="647"/>
      <c r="CU12" s="82" t="str">
        <f t="shared" si="22"/>
        <v>&gt; 25%</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v>0</v>
      </c>
      <c r="G13" s="623"/>
      <c r="H13" s="641">
        <v>0</v>
      </c>
      <c r="I13" s="623"/>
      <c r="J13" s="641"/>
      <c r="K13" s="623"/>
      <c r="L13" s="641"/>
      <c r="M13" s="623"/>
      <c r="N13" s="641"/>
      <c r="O13" s="623"/>
      <c r="P13" s="641"/>
      <c r="Q13" s="623"/>
      <c r="R13" s="641"/>
      <c r="S13" s="623"/>
      <c r="T13" s="641"/>
      <c r="U13" s="623"/>
      <c r="V13" s="641"/>
      <c r="W13" s="623"/>
      <c r="X13" s="641"/>
      <c r="Y13" s="623"/>
      <c r="Z13" s="641"/>
      <c r="AA13" s="623"/>
      <c r="AB13" s="641">
        <v>0</v>
      </c>
      <c r="AC13" s="623"/>
      <c r="AD13" s="641">
        <v>0</v>
      </c>
      <c r="AE13" s="623"/>
      <c r="AF13" s="641">
        <v>0</v>
      </c>
      <c r="AG13" s="623"/>
      <c r="AH13" s="641">
        <v>0</v>
      </c>
      <c r="AI13" s="623"/>
      <c r="AJ13" s="641">
        <v>0</v>
      </c>
      <c r="AK13" s="623"/>
      <c r="AL13" s="641">
        <v>0</v>
      </c>
      <c r="AM13" s="623"/>
      <c r="AN13" s="641">
        <v>0</v>
      </c>
      <c r="AO13" s="623"/>
      <c r="AP13" s="641">
        <v>0</v>
      </c>
      <c r="AQ13" s="623"/>
      <c r="AR13" s="641">
        <v>0</v>
      </c>
      <c r="AS13" s="623"/>
      <c r="AT13" s="641">
        <v>0</v>
      </c>
      <c r="AU13" s="623"/>
      <c r="AV13" s="641">
        <v>0</v>
      </c>
      <c r="AW13" s="623"/>
      <c r="AX13" s="641">
        <v>0</v>
      </c>
      <c r="AY13" s="623"/>
      <c r="BA13" s="261"/>
      <c r="BB13" s="101">
        <v>6</v>
      </c>
      <c r="BC13" s="258" t="s">
        <v>554</v>
      </c>
      <c r="BD13" s="85" t="s">
        <v>93</v>
      </c>
      <c r="BE13" s="270" t="str">
        <f t="shared" si="1"/>
        <v>ok</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e">
        <f t="shared" si="12"/>
        <v>#DIV/0!</v>
      </c>
      <c r="CB13" s="647"/>
      <c r="CC13" s="82" t="e">
        <f t="shared" si="13"/>
        <v>#DIV/0!</v>
      </c>
      <c r="CD13" s="648"/>
      <c r="CE13" s="82" t="e">
        <f t="shared" si="14"/>
        <v>#DIV/0!</v>
      </c>
      <c r="CF13" s="648"/>
      <c r="CG13" s="82" t="e">
        <f t="shared" si="15"/>
        <v>#DIV/0!</v>
      </c>
      <c r="CH13" s="648"/>
      <c r="CI13" s="82" t="e">
        <f t="shared" si="16"/>
        <v>#DIV/0!</v>
      </c>
      <c r="CJ13" s="648"/>
      <c r="CK13" s="82" t="e">
        <f t="shared" si="17"/>
        <v>#DIV/0!</v>
      </c>
      <c r="CL13" s="648"/>
      <c r="CM13" s="82" t="e">
        <f t="shared" si="18"/>
        <v>#DIV/0!</v>
      </c>
      <c r="CN13" s="648"/>
      <c r="CO13" s="82" t="e">
        <f t="shared" si="19"/>
        <v>#DIV/0!</v>
      </c>
      <c r="CP13" s="648"/>
      <c r="CQ13" s="82" t="e">
        <f t="shared" si="20"/>
        <v>#DIV/0!</v>
      </c>
      <c r="CR13" s="648"/>
      <c r="CS13" s="82" t="e">
        <f t="shared" si="21"/>
        <v>#DIV/0!</v>
      </c>
      <c r="CT13" s="648"/>
      <c r="CU13" s="82" t="e">
        <f t="shared" si="22"/>
        <v>#DIV/0!</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55" t="s">
        <v>317</v>
      </c>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755" t="s">
        <v>292</v>
      </c>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c r="BB21" s="101">
        <v>3</v>
      </c>
      <c r="BC21" s="258" t="s">
        <v>23</v>
      </c>
      <c r="BD21" s="84" t="s">
        <v>360</v>
      </c>
      <c r="BE21" s="84">
        <f>F10</f>
        <v>17161.2</v>
      </c>
      <c r="BF21" s="84">
        <f>H10</f>
        <v>26115.6</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26774</v>
      </c>
      <c r="BZ21" s="84"/>
      <c r="CA21" s="84">
        <f>AD10</f>
        <v>23284.800000000003</v>
      </c>
      <c r="CB21" s="84"/>
      <c r="CC21" s="84">
        <f>AF10</f>
        <v>16984.8</v>
      </c>
      <c r="CD21" s="84"/>
      <c r="CE21" s="84">
        <f>AH10</f>
        <v>7336.4</v>
      </c>
      <c r="CF21" s="84"/>
      <c r="CG21" s="84">
        <f>AJ10</f>
        <v>2853.2</v>
      </c>
      <c r="CH21" s="84"/>
      <c r="CI21" s="84">
        <f>AL10</f>
        <v>18480.8</v>
      </c>
      <c r="CJ21" s="84"/>
      <c r="CK21" s="84">
        <f>AN10</f>
        <v>9160.800000000001</v>
      </c>
      <c r="CL21" s="84"/>
      <c r="CM21" s="84">
        <f>AP10</f>
        <v>10251.2</v>
      </c>
      <c r="CN21" s="84"/>
      <c r="CO21" s="84">
        <f>AR10</f>
        <v>12310</v>
      </c>
      <c r="CP21" s="84"/>
      <c r="CQ21" s="84">
        <f>AT10</f>
        <v>0</v>
      </c>
      <c r="CR21" s="647"/>
      <c r="CS21" s="84">
        <f>AV10</f>
        <v>24158.4</v>
      </c>
      <c r="CT21" s="84"/>
      <c r="CU21" s="84">
        <f>AX10</f>
        <v>35473.200000000004</v>
      </c>
      <c r="CV21" s="84"/>
      <c r="CW21" s="637">
        <v>84</v>
      </c>
      <c r="CX21" s="637" t="s">
        <v>399</v>
      </c>
      <c r="CY21" s="637">
        <v>39160</v>
      </c>
      <c r="CZ21" s="637">
        <v>15260</v>
      </c>
      <c r="DA21" s="637">
        <v>6042</v>
      </c>
      <c r="DB21" s="637">
        <v>21730</v>
      </c>
    </row>
    <row r="22" spans="1:107" ht="25.5" customHeight="1">
      <c r="A22" s="290"/>
      <c r="C22" s="288" t="s">
        <v>167</v>
      </c>
      <c r="D22" s="769" t="s">
        <v>168</v>
      </c>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769"/>
      <c r="AY22" s="769"/>
      <c r="AZ22" s="769"/>
      <c r="BA22" s="292"/>
      <c r="BB22" s="293">
        <v>10</v>
      </c>
      <c r="BC22" s="294" t="s">
        <v>44</v>
      </c>
      <c r="BD22" s="84" t="s">
        <v>360</v>
      </c>
      <c r="BE22" s="84">
        <f>(F8-F9)</f>
        <v>17161.2</v>
      </c>
      <c r="BF22" s="84">
        <f>(H8-H9)</f>
        <v>26115.6</v>
      </c>
      <c r="BG22" s="84">
        <f>(J8-J9)</f>
        <v>0</v>
      </c>
      <c r="BH22" s="84"/>
      <c r="BI22" s="84">
        <f>(L8-L9)</f>
        <v>0</v>
      </c>
      <c r="BJ22" s="84"/>
      <c r="BK22" s="84">
        <f>(N8-N9)</f>
        <v>0</v>
      </c>
      <c r="BL22" s="84"/>
      <c r="BM22" s="84">
        <f>(P8-P9)</f>
        <v>0</v>
      </c>
      <c r="BN22" s="84"/>
      <c r="BO22" s="84">
        <f>(R8-R9)</f>
        <v>0</v>
      </c>
      <c r="BP22" s="84"/>
      <c r="BQ22" s="84">
        <f>(T8-T9)</f>
        <v>0</v>
      </c>
      <c r="BR22" s="84"/>
      <c r="BS22" s="84">
        <f>(V8-V9)</f>
        <v>0</v>
      </c>
      <c r="BT22" s="84"/>
      <c r="BU22" s="84">
        <f>(X8-X9)</f>
        <v>0</v>
      </c>
      <c r="BV22" s="84"/>
      <c r="BW22" s="84">
        <f>(Z8-Z9)</f>
        <v>0</v>
      </c>
      <c r="BX22" s="84"/>
      <c r="BY22" s="84">
        <f>(AB8-AB9)</f>
        <v>26774</v>
      </c>
      <c r="BZ22" s="84"/>
      <c r="CA22" s="84">
        <f>(AD8-AD9)</f>
        <v>23284.800000000003</v>
      </c>
      <c r="CB22" s="84"/>
      <c r="CC22" s="84">
        <f>(AF8-AF9)</f>
        <v>16984.8</v>
      </c>
      <c r="CD22" s="84"/>
      <c r="CE22" s="84">
        <f>(AH8-AH9)</f>
        <v>7336.4</v>
      </c>
      <c r="CF22" s="84"/>
      <c r="CG22" s="84">
        <f>(AJ8-AJ9)</f>
        <v>2853.2</v>
      </c>
      <c r="CH22" s="84"/>
      <c r="CI22" s="84">
        <f>(AL8-AL9)</f>
        <v>18480.8</v>
      </c>
      <c r="CJ22" s="84"/>
      <c r="CK22" s="84">
        <f>(AN8-AN9)</f>
        <v>9160.800000000001</v>
      </c>
      <c r="CL22" s="84"/>
      <c r="CM22" s="84">
        <f>(AP8-AP9)</f>
        <v>10251.2</v>
      </c>
      <c r="CN22" s="84"/>
      <c r="CO22" s="84">
        <f>(AR8-AR9)</f>
        <v>12310</v>
      </c>
      <c r="CP22" s="84"/>
      <c r="CQ22" s="84">
        <f>(AT8-AT9)</f>
        <v>0</v>
      </c>
      <c r="CR22" s="647"/>
      <c r="CS22" s="84">
        <f>(AV8-AV9)</f>
        <v>24158.4</v>
      </c>
      <c r="CT22" s="84"/>
      <c r="CU22" s="84">
        <f>(AX8-AX9)</f>
        <v>35473.200000000004</v>
      </c>
      <c r="CV22" s="84"/>
      <c r="CW22" s="637">
        <v>204</v>
      </c>
      <c r="CX22" s="637" t="s">
        <v>400</v>
      </c>
      <c r="CY22" s="637">
        <v>119200</v>
      </c>
      <c r="CZ22" s="637">
        <v>10300</v>
      </c>
      <c r="DA22" s="637">
        <v>0</v>
      </c>
      <c r="DB22" s="637">
        <v>26390</v>
      </c>
      <c r="DC22" s="295"/>
    </row>
    <row r="23" spans="1:107" ht="25.5" customHeight="1">
      <c r="A23" s="290"/>
      <c r="B23" s="290"/>
      <c r="C23" s="288" t="s">
        <v>167</v>
      </c>
      <c r="D23" s="755" t="s">
        <v>129</v>
      </c>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c r="BA23" s="296"/>
      <c r="BB23" s="297" t="s">
        <v>203</v>
      </c>
      <c r="BC23" s="294" t="s">
        <v>264</v>
      </c>
      <c r="BD23" s="84"/>
      <c r="BE23" s="84" t="str">
        <f>IF(OR(ISBLANK(F8),ISBLANK(F9),ISBLANK(F10)),"N/A",IF((BE21=BE22),"ok","&lt;&gt;"))</f>
        <v>ok</v>
      </c>
      <c r="BF23" s="84" t="str">
        <f>IF(OR(ISBLANK(H8),ISBLANK(H9),ISBLANK(H10)),"N/A",IF((BF21=BF22),"ok","&lt;&gt;"))</f>
        <v>ok</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ok</v>
      </c>
      <c r="BZ23" s="84"/>
      <c r="CA23" s="84" t="str">
        <f>IF(OR(ISBLANK(AD8),ISBLANK(AD9),ISBLANK(AD10)),"N/A",IF((CA21=CA22),"ok","&lt;&gt;"))</f>
        <v>ok</v>
      </c>
      <c r="CB23" s="84"/>
      <c r="CC23" s="84" t="str">
        <f>IF(OR(ISBLANK(AF8),ISBLANK(AF9),ISBLANK(AF10)),"N/A",IF((CC21=CC22),"ok","&lt;&gt;"))</f>
        <v>ok</v>
      </c>
      <c r="CD23" s="84"/>
      <c r="CE23" s="84" t="str">
        <f>IF(OR(ISBLANK(AH8),ISBLANK(AH9),ISBLANK(AH10)),"N/A",IF((CE21=CE22),"ok","&lt;&gt;"))</f>
        <v>ok</v>
      </c>
      <c r="CF23" s="84"/>
      <c r="CG23" s="84" t="str">
        <f>IF(OR(ISBLANK(AJ8),ISBLANK(AJ9),ISBLANK(AJ10)),"N/A",IF((CG21=CG22),"ok","&lt;&gt;"))</f>
        <v>ok</v>
      </c>
      <c r="CH23" s="84"/>
      <c r="CI23" s="84" t="str">
        <f>IF(OR(ISBLANK(AL8),ISBLANK(AL9),ISBLANK(AL10)),"N/A",IF((CI21=CI22),"ok","&lt;&gt;"))</f>
        <v>ok</v>
      </c>
      <c r="CJ23" s="84"/>
      <c r="CK23" s="84" t="str">
        <f>IF(OR(ISBLANK(AN8),ISBLANK(AN9),ISBLANK(AN10)),"N/A",IF((CK21=CK22),"ok","&lt;&gt;"))</f>
        <v>ok</v>
      </c>
      <c r="CL23" s="84"/>
      <c r="CM23" s="84" t="str">
        <f>IF(OR(ISBLANK(AP8),ISBLANK(AP9),ISBLANK(AP10)),"N/A",IF((CM21=CM22),"ok","&lt;&gt;"))</f>
        <v>ok</v>
      </c>
      <c r="CN23" s="84"/>
      <c r="CO23" s="84" t="str">
        <f>IF(OR(ISBLANK(AR8),ISBLANK(AR9),ISBLANK(AR10)),"N/A",IF((CO21=CO22),"ok","&lt;&gt;"))</f>
        <v>ok</v>
      </c>
      <c r="CP23" s="84"/>
      <c r="CQ23" s="84" t="str">
        <f>IF(OR(ISBLANK(AT8),ISBLANK(AT9),ISBLANK(AT10)),"N/A",IF((CQ21=CQ22),"ok","&lt;&gt;"))</f>
        <v>N/A</v>
      </c>
      <c r="CR23" s="647"/>
      <c r="CS23" s="84" t="str">
        <f>IF(OR(ISBLANK(AV8),ISBLANK(AV9),ISBLANK(AV10)),"N/A",IF((CS21=CS22),"ok","&lt;&gt;"))</f>
        <v>ok</v>
      </c>
      <c r="CT23" s="84"/>
      <c r="CU23" s="84" t="str">
        <f>IF(OR(ISBLANK(AX8),ISBLANK(AX9),ISBLANK(AX10)),"N/A",IF((CU21=CU22),"ok","&lt;&gt;"))</f>
        <v>ok</v>
      </c>
      <c r="CV23" s="84"/>
      <c r="CW23" s="637">
        <v>60</v>
      </c>
      <c r="CX23" s="637" t="s">
        <v>401</v>
      </c>
      <c r="CY23" s="637"/>
      <c r="CZ23" s="637"/>
      <c r="DA23" s="637"/>
      <c r="DB23" s="637"/>
      <c r="DC23" s="295"/>
    </row>
    <row r="24" spans="1:107" ht="22.5" customHeight="1">
      <c r="A24" s="290"/>
      <c r="B24" s="290"/>
      <c r="C24" s="288" t="s">
        <v>167</v>
      </c>
      <c r="D24" s="759" t="s">
        <v>597</v>
      </c>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759"/>
      <c r="AZ24" s="759"/>
      <c r="BA24" s="292"/>
      <c r="BB24" s="101">
        <v>5</v>
      </c>
      <c r="BC24" s="267" t="s">
        <v>22</v>
      </c>
      <c r="BD24" s="84" t="s">
        <v>360</v>
      </c>
      <c r="BE24" s="84">
        <f>F12</f>
        <v>17161.2</v>
      </c>
      <c r="BF24" s="84">
        <f>H12</f>
        <v>26115.6</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26774</v>
      </c>
      <c r="BZ24" s="84"/>
      <c r="CA24" s="84">
        <f>AD12</f>
        <v>23284.800000000003</v>
      </c>
      <c r="CB24" s="84"/>
      <c r="CC24" s="84">
        <f>AF12</f>
        <v>16984.8</v>
      </c>
      <c r="CD24" s="84"/>
      <c r="CE24" s="84">
        <f>AH12</f>
        <v>7336.4</v>
      </c>
      <c r="CF24" s="84"/>
      <c r="CG24" s="84">
        <f>AJ12</f>
        <v>2853.2</v>
      </c>
      <c r="CH24" s="84"/>
      <c r="CI24" s="84">
        <f>AL12</f>
        <v>18480.8</v>
      </c>
      <c r="CJ24" s="84"/>
      <c r="CK24" s="84">
        <f>AN12</f>
        <v>9160.800000000001</v>
      </c>
      <c r="CL24" s="84"/>
      <c r="CM24" s="84">
        <f>AP12</f>
        <v>10251.2</v>
      </c>
      <c r="CN24" s="84"/>
      <c r="CO24" s="84">
        <f>AR12</f>
        <v>12310</v>
      </c>
      <c r="CP24" s="84"/>
      <c r="CQ24" s="84">
        <f>AT12</f>
        <v>0</v>
      </c>
      <c r="CR24" s="654"/>
      <c r="CS24" s="84">
        <f>AV12</f>
        <v>24158.4</v>
      </c>
      <c r="CT24" s="84"/>
      <c r="CU24" s="84">
        <f>AX12</f>
        <v>35473.200000000004</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17161.2</v>
      </c>
      <c r="BF25" s="84">
        <f>H10+H11</f>
        <v>26115.6</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26774</v>
      </c>
      <c r="BZ25" s="84"/>
      <c r="CA25" s="84">
        <f>AD10+AD11</f>
        <v>23284.800000000003</v>
      </c>
      <c r="CB25" s="84"/>
      <c r="CC25" s="84">
        <f>AF10+AF11</f>
        <v>16984.8</v>
      </c>
      <c r="CD25" s="84"/>
      <c r="CE25" s="84">
        <f>AH10+AH11</f>
        <v>7336.4</v>
      </c>
      <c r="CF25" s="84"/>
      <c r="CG25" s="84">
        <f>AJ10+AJ11</f>
        <v>2853.2</v>
      </c>
      <c r="CH25" s="84"/>
      <c r="CI25" s="84">
        <f>AL10+AL11</f>
        <v>18480.8</v>
      </c>
      <c r="CJ25" s="84"/>
      <c r="CK25" s="84">
        <f>AN10+AN11</f>
        <v>9160.800000000001</v>
      </c>
      <c r="CL25" s="84"/>
      <c r="CM25" s="84">
        <f>AP10+AP11</f>
        <v>10251.2</v>
      </c>
      <c r="CN25" s="84"/>
      <c r="CO25" s="84">
        <f>AR10+AR11</f>
        <v>12310</v>
      </c>
      <c r="CP25" s="84"/>
      <c r="CQ25" s="84">
        <f>AT10+AT11</f>
        <v>0</v>
      </c>
      <c r="CR25" s="84"/>
      <c r="CS25" s="84">
        <f>AV10+AV11</f>
        <v>24158.4</v>
      </c>
      <c r="CT25" s="84"/>
      <c r="CU25" s="84">
        <f>AX10+AX11</f>
        <v>35473.200000000004</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40" t="str">
        <f>D8&amp;" (W1, 1)"</f>
        <v>Precipitation                               (W1, 1)</v>
      </c>
      <c r="AC26" s="763"/>
      <c r="AD26" s="763"/>
      <c r="AE26" s="773"/>
      <c r="AF26" s="301"/>
      <c r="AG26" s="301"/>
      <c r="AH26" s="301"/>
      <c r="AI26" s="301"/>
      <c r="AJ26" s="740" t="str">
        <f>D9&amp;"
(W1, 2)"</f>
        <v>Actual evapotranspiration
(W1, 2)</v>
      </c>
      <c r="AK26" s="774"/>
      <c r="AL26" s="774"/>
      <c r="AM26" s="774"/>
      <c r="AN26" s="775"/>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ok</v>
      </c>
      <c r="BF26" s="84" t="str">
        <f>IF(OR(ISBLANK(H10),ISBLANK(H11)),"N/A",IF((BF24=BF25),"ok","&lt;&gt;"))</f>
        <v>ok</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ok</v>
      </c>
      <c r="BZ26" s="84"/>
      <c r="CA26" s="84" t="str">
        <f>IF(OR(ISBLANK(AD10),ISBLANK(AD11)),"N/A",IF((CA24=CA25),"ok","&lt;&gt;"))</f>
        <v>ok</v>
      </c>
      <c r="CB26" s="84"/>
      <c r="CC26" s="84" t="str">
        <f>IF(OR(ISBLANK(AF10),ISBLANK(AF11)),"N/A",IF((CC24=CC25),"ok","&lt;&gt;"))</f>
        <v>ok</v>
      </c>
      <c r="CD26" s="84"/>
      <c r="CE26" s="84" t="str">
        <f>IF(OR(ISBLANK(AH10),ISBLANK(AH11)),"N/A",IF((CE24=CE25),"ok","&lt;&gt;"))</f>
        <v>ok</v>
      </c>
      <c r="CF26" s="84"/>
      <c r="CG26" s="84" t="str">
        <f>IF(OR(ISBLANK(AJ10),ISBLANK(AJ11)),"N/A",IF((CG24=CG25),"ok","&lt;&gt;"))</f>
        <v>ok</v>
      </c>
      <c r="CH26" s="84"/>
      <c r="CI26" s="84" t="str">
        <f>IF(OR(ISBLANK(AL10),ISBLANK(AL11)),"N/A",IF((CI24=CI25),"ok","&lt;&gt;"))</f>
        <v>ok</v>
      </c>
      <c r="CJ26" s="84"/>
      <c r="CK26" s="84" t="str">
        <f>IF(OR(ISBLANK(AN10),ISBLANK(AN11)),"N/A",IF((CK24=CK25),"ok","&lt;&gt;"))</f>
        <v>ok</v>
      </c>
      <c r="CL26" s="84"/>
      <c r="CM26" s="84" t="str">
        <f>IF(OR(ISBLANK(AP10),ISBLANK(AP11)),"N/A",IF((CM24=CM25),"ok","&lt;&gt;"))</f>
        <v>ok</v>
      </c>
      <c r="CN26" s="84"/>
      <c r="CO26" s="84" t="str">
        <f>IF(OR(ISBLANK(AR10),ISBLANK(AR11)),"N/A",IF((CO24=CO25),"ok","&lt;&gt;"))</f>
        <v>ok</v>
      </c>
      <c r="CP26" s="84"/>
      <c r="CQ26" s="84" t="str">
        <f>IF(OR(ISBLANK(AT10),ISBLANK(AT11)),"N/A",IF((CQ24=CQ25),"ok","&lt;&gt;"))</f>
        <v>N/A</v>
      </c>
      <c r="CR26" s="84"/>
      <c r="CS26" s="84" t="str">
        <f>IF(OR(ISBLANK(AV10),ISBLANK(AV11)),"N/A",IF((CS24=CS25),"ok","&lt;&gt;"))</f>
        <v>ok</v>
      </c>
      <c r="CT26" s="84"/>
      <c r="CU26" s="84" t="str">
        <f>IF(OR(ISBLANK(AX10),ISBLANK(AX11)),"N/A",IF((CU24=CU25),"ok","&lt;&gt;"))</f>
        <v>ok</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42903</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40" t="str">
        <f>LEFT(D10,LEN(D10)-7)&amp;" (W1, 3)"</f>
        <v>Internal flow (W1, 3)</v>
      </c>
      <c r="AE28" s="776"/>
      <c r="AF28" s="776"/>
      <c r="AG28" s="776"/>
      <c r="AH28" s="776"/>
      <c r="AI28" s="776"/>
      <c r="AJ28" s="776"/>
      <c r="AK28" s="776"/>
      <c r="AL28" s="777"/>
      <c r="AM28" s="298"/>
      <c r="AN28" s="298"/>
      <c r="AO28" s="298"/>
      <c r="AP28" s="298"/>
      <c r="AQ28" s="298"/>
      <c r="AR28" s="298"/>
      <c r="AS28" s="298"/>
      <c r="AZ28" s="298"/>
      <c r="BA28" s="292"/>
      <c r="BB28" s="293">
        <v>12</v>
      </c>
      <c r="BC28" s="294" t="s">
        <v>62</v>
      </c>
      <c r="BD28" s="84" t="s">
        <v>360</v>
      </c>
      <c r="BE28" s="84">
        <f>VLOOKUP(B3,CW7:CZ183,3,FALSE)</f>
        <v>0</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40" t="str">
        <f>D13&amp;" (W1, 6)"</f>
        <v>Outflow of surface and groundwaters to neighbouring countries (W1, 6)</v>
      </c>
      <c r="AU29" s="763"/>
      <c r="AV29" s="763"/>
      <c r="AW29" s="763"/>
      <c r="AX29" s="763"/>
      <c r="AY29" s="764"/>
      <c r="AZ29" s="298"/>
      <c r="BA29" s="292"/>
      <c r="BB29" s="297" t="s">
        <v>203</v>
      </c>
      <c r="BC29" s="305" t="s">
        <v>266</v>
      </c>
      <c r="BD29" s="84" t="s">
        <v>360</v>
      </c>
      <c r="BE29" s="84">
        <f>ABS(BE27-BE28)</f>
        <v>42903</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40" t="str">
        <f>D11&amp;" (W1, 4)"</f>
        <v>Inflow of surface and groundwaters from neighbouring countries (W1, 4)</v>
      </c>
      <c r="AC30" s="778"/>
      <c r="AD30" s="778"/>
      <c r="AE30" s="779"/>
      <c r="AF30" s="301"/>
      <c r="AG30" s="301"/>
      <c r="AH30" s="301"/>
      <c r="AI30" s="301"/>
      <c r="AJ30" s="301"/>
      <c r="AK30" s="740" t="str">
        <f>LEFT(D12,LEN(D12)-7)&amp;" (W1, 5)"</f>
        <v>Renewable freshwater resources (W1, 5)</v>
      </c>
      <c r="AL30" s="741"/>
      <c r="AM30" s="741"/>
      <c r="AN30" s="742"/>
      <c r="AO30" s="298"/>
      <c r="AP30" s="298"/>
      <c r="AQ30" s="298"/>
      <c r="AR30" s="298"/>
      <c r="AS30" s="298"/>
      <c r="AT30" s="299"/>
      <c r="AU30" s="299"/>
      <c r="AV30" s="299"/>
      <c r="AW30" s="299"/>
      <c r="AX30" s="299"/>
      <c r="AY30" s="306"/>
      <c r="AZ30" s="302"/>
      <c r="BA30" s="292"/>
      <c r="BB30" s="84">
        <v>3</v>
      </c>
      <c r="BC30" s="258" t="s">
        <v>23</v>
      </c>
      <c r="BD30" s="84" t="s">
        <v>360</v>
      </c>
      <c r="BE30" s="84">
        <f>F10</f>
        <v>17161.2</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60"/>
      <c r="AC31" s="761"/>
      <c r="AD31" s="761"/>
      <c r="AE31" s="761"/>
      <c r="AF31" s="308"/>
      <c r="AG31" s="309"/>
      <c r="AH31" s="300"/>
      <c r="AI31" s="300"/>
      <c r="AJ31" s="300"/>
      <c r="AK31" s="760"/>
      <c r="AL31" s="762"/>
      <c r="AM31" s="762"/>
      <c r="AN31" s="762"/>
      <c r="AO31" s="310"/>
      <c r="AP31" s="310"/>
      <c r="AQ31" s="230"/>
      <c r="AR31" s="230"/>
      <c r="AS31" s="230"/>
      <c r="AT31" s="740" t="str">
        <f>D16&amp;" (W1, 9)"</f>
        <v>Outflow of surface and groundwaters to the sea (W1, 9)</v>
      </c>
      <c r="AU31" s="763"/>
      <c r="AV31" s="763"/>
      <c r="AW31" s="763"/>
      <c r="AX31" s="763"/>
      <c r="AY31" s="764"/>
      <c r="AZ31" s="310"/>
      <c r="BA31" s="292"/>
      <c r="BB31" s="311">
        <v>13</v>
      </c>
      <c r="BC31" s="294" t="s">
        <v>63</v>
      </c>
      <c r="BD31" s="84" t="s">
        <v>360</v>
      </c>
      <c r="BE31" s="84">
        <f>VLOOKUP(B3,CW7:CZ183,4,FALSE)</f>
        <v>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17161.2</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56" t="s">
        <v>357</v>
      </c>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8"/>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1:106" ht="18" customHeight="1">
      <c r="A36" s="189">
        <v>1</v>
      </c>
      <c r="B36" s="190">
        <v>6009</v>
      </c>
      <c r="C36" s="569" t="s">
        <v>609</v>
      </c>
      <c r="D36" s="770" t="s">
        <v>601</v>
      </c>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1"/>
      <c r="AY36" s="771"/>
      <c r="AZ36" s="772"/>
      <c r="BB36" s="101">
        <v>5</v>
      </c>
      <c r="BC36" s="267" t="s">
        <v>22</v>
      </c>
      <c r="BD36" s="84" t="s">
        <v>360</v>
      </c>
      <c r="BE36" s="84">
        <f>F12</f>
        <v>17161.2</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1:106" ht="28.5" customHeight="1">
      <c r="A37" s="189">
        <v>1</v>
      </c>
      <c r="B37" s="190">
        <v>6010</v>
      </c>
      <c r="C37" s="569" t="s">
        <v>610</v>
      </c>
      <c r="D37" s="743" t="s">
        <v>606</v>
      </c>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4"/>
      <c r="AJ37" s="744"/>
      <c r="AK37" s="744"/>
      <c r="AL37" s="744"/>
      <c r="AM37" s="744"/>
      <c r="AN37" s="744"/>
      <c r="AO37" s="744"/>
      <c r="AP37" s="744"/>
      <c r="AQ37" s="744"/>
      <c r="AR37" s="744"/>
      <c r="AS37" s="744"/>
      <c r="AT37" s="744"/>
      <c r="AU37" s="744"/>
      <c r="AV37" s="744"/>
      <c r="AW37" s="744"/>
      <c r="AX37" s="744"/>
      <c r="AY37" s="744"/>
      <c r="AZ37" s="745"/>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33.75" customHeight="1">
      <c r="C38" s="569"/>
      <c r="D38" s="743" t="s">
        <v>608</v>
      </c>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44"/>
      <c r="AL38" s="744"/>
      <c r="AM38" s="744"/>
      <c r="AN38" s="744"/>
      <c r="AO38" s="744"/>
      <c r="AP38" s="744"/>
      <c r="AQ38" s="744"/>
      <c r="AR38" s="744"/>
      <c r="AS38" s="744"/>
      <c r="AT38" s="744"/>
      <c r="AU38" s="744"/>
      <c r="AV38" s="744"/>
      <c r="AW38" s="744"/>
      <c r="AX38" s="744"/>
      <c r="AY38" s="744"/>
      <c r="AZ38" s="745"/>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43"/>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744"/>
      <c r="AN39" s="744"/>
      <c r="AO39" s="744"/>
      <c r="AP39" s="744"/>
      <c r="AQ39" s="744"/>
      <c r="AR39" s="744"/>
      <c r="AS39" s="744"/>
      <c r="AT39" s="744"/>
      <c r="AU39" s="744"/>
      <c r="AV39" s="744"/>
      <c r="AW39" s="744"/>
      <c r="AX39" s="744"/>
      <c r="AY39" s="744"/>
      <c r="AZ39" s="745"/>
      <c r="BB39" s="327" t="s">
        <v>66</v>
      </c>
      <c r="BC39" s="328" t="s">
        <v>67</v>
      </c>
      <c r="CW39" s="637">
        <v>344</v>
      </c>
      <c r="CX39" s="637" t="s">
        <v>418</v>
      </c>
      <c r="CY39" s="637"/>
      <c r="CZ39" s="637"/>
      <c r="DA39" s="637"/>
      <c r="DB39" s="637"/>
    </row>
    <row r="40" spans="3:106" ht="18" customHeight="1">
      <c r="C40" s="569"/>
      <c r="D40" s="743"/>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4"/>
      <c r="AJ40" s="744"/>
      <c r="AK40" s="744"/>
      <c r="AL40" s="744"/>
      <c r="AM40" s="744"/>
      <c r="AN40" s="744"/>
      <c r="AO40" s="744"/>
      <c r="AP40" s="744"/>
      <c r="AQ40" s="744"/>
      <c r="AR40" s="744"/>
      <c r="AS40" s="744"/>
      <c r="AT40" s="744"/>
      <c r="AU40" s="744"/>
      <c r="AV40" s="744"/>
      <c r="AW40" s="744"/>
      <c r="AX40" s="744"/>
      <c r="AY40" s="744"/>
      <c r="AZ40" s="745"/>
      <c r="BB40" s="327" t="s">
        <v>68</v>
      </c>
      <c r="BC40" s="328" t="s">
        <v>69</v>
      </c>
      <c r="CW40" s="637">
        <v>446</v>
      </c>
      <c r="CX40" s="637" t="s">
        <v>419</v>
      </c>
      <c r="CY40" s="637"/>
      <c r="CZ40" s="637"/>
      <c r="DA40" s="637"/>
      <c r="DB40" s="637"/>
    </row>
    <row r="41" spans="3:106" ht="18" customHeight="1">
      <c r="C41" s="569"/>
      <c r="D41" s="743"/>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4"/>
      <c r="AP41" s="744"/>
      <c r="AQ41" s="744"/>
      <c r="AR41" s="744"/>
      <c r="AS41" s="744"/>
      <c r="AT41" s="744"/>
      <c r="AU41" s="744"/>
      <c r="AV41" s="744"/>
      <c r="AW41" s="744"/>
      <c r="AX41" s="744"/>
      <c r="AY41" s="744"/>
      <c r="AZ41" s="745"/>
      <c r="BB41" s="329" t="s">
        <v>71</v>
      </c>
      <c r="BC41" s="328" t="s">
        <v>73</v>
      </c>
      <c r="BD41" s="330"/>
      <c r="CW41" s="637">
        <v>170</v>
      </c>
      <c r="CX41" s="637" t="s">
        <v>420</v>
      </c>
      <c r="CY41" s="637">
        <v>3699000</v>
      </c>
      <c r="CZ41" s="637">
        <v>2145000</v>
      </c>
      <c r="DA41" s="637">
        <v>215000</v>
      </c>
      <c r="DB41" s="637">
        <v>2360000</v>
      </c>
    </row>
    <row r="42" spans="3:106" ht="18" customHeight="1">
      <c r="C42" s="569"/>
      <c r="D42" s="743"/>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5"/>
      <c r="BB42" s="329" t="s">
        <v>70</v>
      </c>
      <c r="BC42" s="328" t="s">
        <v>14</v>
      </c>
      <c r="BD42" s="330"/>
      <c r="CW42" s="637">
        <v>174</v>
      </c>
      <c r="CX42" s="637" t="s">
        <v>421</v>
      </c>
      <c r="CY42" s="637">
        <v>1675</v>
      </c>
      <c r="CZ42" s="637">
        <v>1200</v>
      </c>
      <c r="DA42" s="637">
        <v>0</v>
      </c>
      <c r="DB42" s="637">
        <v>1200</v>
      </c>
    </row>
    <row r="43" spans="3:106" ht="18" customHeight="1">
      <c r="C43" s="569"/>
      <c r="D43" s="743"/>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44"/>
      <c r="AY43" s="744"/>
      <c r="AZ43" s="745"/>
      <c r="BB43" s="327" t="s">
        <v>72</v>
      </c>
      <c r="BC43" s="328" t="s">
        <v>74</v>
      </c>
      <c r="BD43" s="330"/>
      <c r="CW43" s="637">
        <v>178</v>
      </c>
      <c r="CX43" s="637" t="s">
        <v>422</v>
      </c>
      <c r="CY43" s="637">
        <v>562900</v>
      </c>
      <c r="CZ43" s="637">
        <v>222000</v>
      </c>
      <c r="DA43" s="637">
        <v>52000</v>
      </c>
      <c r="DB43" s="637">
        <v>832000</v>
      </c>
    </row>
    <row r="44" spans="3:106" ht="18" customHeight="1">
      <c r="C44" s="569"/>
      <c r="D44" s="743"/>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44"/>
      <c r="AW44" s="744"/>
      <c r="AX44" s="744"/>
      <c r="AY44" s="744"/>
      <c r="AZ44" s="745"/>
      <c r="BD44" s="330"/>
      <c r="CW44" s="637">
        <v>188</v>
      </c>
      <c r="CX44" s="637" t="s">
        <v>423</v>
      </c>
      <c r="CY44" s="637">
        <v>149500</v>
      </c>
      <c r="CZ44" s="637">
        <v>113000</v>
      </c>
      <c r="DA44" s="637">
        <v>0</v>
      </c>
      <c r="DB44" s="637">
        <v>113000</v>
      </c>
    </row>
    <row r="45" spans="3:106" ht="18" customHeight="1">
      <c r="C45" s="569"/>
      <c r="D45" s="743"/>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744"/>
      <c r="AR45" s="744"/>
      <c r="AS45" s="744"/>
      <c r="AT45" s="744"/>
      <c r="AU45" s="744"/>
      <c r="AV45" s="744"/>
      <c r="AW45" s="744"/>
      <c r="AX45" s="744"/>
      <c r="AY45" s="744"/>
      <c r="AZ45" s="745"/>
      <c r="CW45" s="637">
        <v>384</v>
      </c>
      <c r="CX45" s="637" t="s">
        <v>174</v>
      </c>
      <c r="CY45" s="637">
        <v>434700</v>
      </c>
      <c r="CZ45" s="637">
        <v>76840</v>
      </c>
      <c r="DA45" s="637">
        <v>4300</v>
      </c>
      <c r="DB45" s="637">
        <v>84140</v>
      </c>
    </row>
    <row r="46" spans="3:106" ht="18" customHeight="1">
      <c r="C46" s="569"/>
      <c r="D46" s="743"/>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4"/>
      <c r="AY46" s="744"/>
      <c r="AZ46" s="745"/>
      <c r="BD46" s="330"/>
      <c r="CW46" s="637">
        <v>191</v>
      </c>
      <c r="CX46" s="637" t="s">
        <v>424</v>
      </c>
      <c r="CY46" s="637">
        <v>62980</v>
      </c>
      <c r="CZ46" s="637">
        <v>37700</v>
      </c>
      <c r="DA46" s="637">
        <v>33470</v>
      </c>
      <c r="DB46" s="637">
        <v>105500</v>
      </c>
    </row>
    <row r="47" spans="3:106" ht="18" customHeight="1">
      <c r="C47" s="569"/>
      <c r="D47" s="743"/>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c r="AY47" s="744"/>
      <c r="AZ47" s="745"/>
      <c r="BB47" s="330"/>
      <c r="BC47" s="330"/>
      <c r="BD47" s="330"/>
      <c r="CW47" s="637">
        <v>192</v>
      </c>
      <c r="CX47" s="637" t="s">
        <v>425</v>
      </c>
      <c r="CY47" s="637">
        <v>146700</v>
      </c>
      <c r="CZ47" s="637">
        <v>38120</v>
      </c>
      <c r="DA47" s="637">
        <v>0</v>
      </c>
      <c r="DB47" s="637">
        <v>38120</v>
      </c>
    </row>
    <row r="48" spans="3:106" ht="18" customHeight="1">
      <c r="C48" s="569"/>
      <c r="D48" s="743"/>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4"/>
      <c r="AY48" s="744"/>
      <c r="AZ48" s="745"/>
      <c r="CW48" s="637">
        <v>196</v>
      </c>
      <c r="CX48" s="637" t="s">
        <v>426</v>
      </c>
      <c r="CY48" s="637">
        <v>4606</v>
      </c>
      <c r="CZ48" s="637">
        <v>780</v>
      </c>
      <c r="DA48" s="637">
        <v>0</v>
      </c>
      <c r="DB48" s="637">
        <v>780</v>
      </c>
    </row>
    <row r="49" spans="3:106" ht="18" customHeight="1">
      <c r="C49" s="569"/>
      <c r="D49" s="743"/>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c r="AP49" s="744"/>
      <c r="AQ49" s="744"/>
      <c r="AR49" s="744"/>
      <c r="AS49" s="744"/>
      <c r="AT49" s="744"/>
      <c r="AU49" s="744"/>
      <c r="AV49" s="744"/>
      <c r="AW49" s="744"/>
      <c r="AX49" s="744"/>
      <c r="AY49" s="744"/>
      <c r="AZ49" s="745"/>
      <c r="CW49" s="637">
        <v>408</v>
      </c>
      <c r="CX49" s="637" t="s">
        <v>175</v>
      </c>
      <c r="CY49" s="637">
        <v>127000</v>
      </c>
      <c r="CZ49" s="637">
        <v>67000</v>
      </c>
      <c r="DA49" s="637">
        <v>0</v>
      </c>
      <c r="DB49" s="637">
        <v>77150</v>
      </c>
    </row>
    <row r="50" spans="3:106" ht="18" customHeight="1">
      <c r="C50" s="569"/>
      <c r="D50" s="743"/>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4"/>
      <c r="AY50" s="744"/>
      <c r="AZ50" s="745"/>
      <c r="CW50" s="637">
        <v>180</v>
      </c>
      <c r="CX50" s="637" t="s">
        <v>176</v>
      </c>
      <c r="CY50" s="637">
        <v>3618000</v>
      </c>
      <c r="CZ50" s="637">
        <v>900000</v>
      </c>
      <c r="DA50" s="637">
        <v>383000</v>
      </c>
      <c r="DB50" s="637">
        <v>1283000</v>
      </c>
    </row>
    <row r="51" spans="3:106" ht="18" customHeight="1">
      <c r="C51" s="569"/>
      <c r="D51" s="743"/>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4"/>
      <c r="AY51" s="744"/>
      <c r="AZ51" s="745"/>
      <c r="CW51" s="637">
        <v>262</v>
      </c>
      <c r="CX51" s="637" t="s">
        <v>427</v>
      </c>
      <c r="CY51" s="637">
        <v>5104</v>
      </c>
      <c r="CZ51" s="637">
        <v>300</v>
      </c>
      <c r="DA51" s="637">
        <v>0</v>
      </c>
      <c r="DB51" s="637">
        <v>300</v>
      </c>
    </row>
    <row r="52" spans="3:106" ht="18" customHeight="1">
      <c r="C52" s="569"/>
      <c r="D52" s="743"/>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4"/>
      <c r="AY52" s="744"/>
      <c r="AZ52" s="745"/>
      <c r="CW52" s="637">
        <v>212</v>
      </c>
      <c r="CX52" s="637" t="s">
        <v>428</v>
      </c>
      <c r="CY52" s="637">
        <v>1562</v>
      </c>
      <c r="CZ52" s="637">
        <v>200</v>
      </c>
      <c r="DA52" s="637">
        <v>0</v>
      </c>
      <c r="DB52" s="637">
        <v>200</v>
      </c>
    </row>
    <row r="53" spans="3:106" ht="18" customHeight="1">
      <c r="C53" s="569"/>
      <c r="D53" s="743"/>
      <c r="E53" s="744"/>
      <c r="F53" s="744"/>
      <c r="G53" s="744"/>
      <c r="H53" s="744"/>
      <c r="I53" s="744"/>
      <c r="J53" s="744"/>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4"/>
      <c r="AO53" s="744"/>
      <c r="AP53" s="744"/>
      <c r="AQ53" s="744"/>
      <c r="AR53" s="744"/>
      <c r="AS53" s="744"/>
      <c r="AT53" s="744"/>
      <c r="AU53" s="744"/>
      <c r="AV53" s="744"/>
      <c r="AW53" s="744"/>
      <c r="AX53" s="744"/>
      <c r="AY53" s="744"/>
      <c r="AZ53" s="745"/>
      <c r="CW53" s="637">
        <v>214</v>
      </c>
      <c r="CX53" s="637" t="s">
        <v>429</v>
      </c>
      <c r="CY53" s="637">
        <v>68620</v>
      </c>
      <c r="CZ53" s="637">
        <v>23500</v>
      </c>
      <c r="DA53" s="637">
        <v>0</v>
      </c>
      <c r="DB53" s="637">
        <v>23500</v>
      </c>
    </row>
    <row r="54" spans="3:106" ht="18" customHeight="1">
      <c r="C54" s="569"/>
      <c r="D54" s="743"/>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4"/>
      <c r="AY54" s="744"/>
      <c r="AZ54" s="745"/>
      <c r="CW54" s="637">
        <v>218</v>
      </c>
      <c r="CX54" s="637" t="s">
        <v>430</v>
      </c>
      <c r="CY54" s="637">
        <v>535000</v>
      </c>
      <c r="CZ54" s="637">
        <v>442400</v>
      </c>
      <c r="DA54" s="637">
        <v>0</v>
      </c>
      <c r="DB54" s="637">
        <v>442400</v>
      </c>
    </row>
    <row r="55" spans="3:106" ht="18" customHeight="1">
      <c r="C55" s="569"/>
      <c r="D55" s="743"/>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5"/>
      <c r="CW55" s="637">
        <v>818</v>
      </c>
      <c r="CX55" s="637" t="s">
        <v>431</v>
      </c>
      <c r="CY55" s="637">
        <v>51070</v>
      </c>
      <c r="CZ55" s="637">
        <v>1800</v>
      </c>
      <c r="DA55" s="637">
        <v>85000</v>
      </c>
      <c r="DB55" s="637">
        <v>58300</v>
      </c>
    </row>
    <row r="56" spans="3:106" ht="18" customHeight="1">
      <c r="C56" s="569"/>
      <c r="D56" s="743"/>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4"/>
      <c r="AO56" s="744"/>
      <c r="AP56" s="744"/>
      <c r="AQ56" s="744"/>
      <c r="AR56" s="744"/>
      <c r="AS56" s="744"/>
      <c r="AT56" s="744"/>
      <c r="AU56" s="744"/>
      <c r="AV56" s="744"/>
      <c r="AW56" s="744"/>
      <c r="AX56" s="744"/>
      <c r="AY56" s="744"/>
      <c r="AZ56" s="745"/>
      <c r="CW56" s="637">
        <v>222</v>
      </c>
      <c r="CX56" s="637" t="s">
        <v>432</v>
      </c>
      <c r="CY56" s="637">
        <v>37540</v>
      </c>
      <c r="CZ56" s="637">
        <v>15630</v>
      </c>
      <c r="DA56" s="637">
        <v>10640</v>
      </c>
      <c r="DB56" s="637">
        <v>26270</v>
      </c>
    </row>
    <row r="57" spans="3:106" ht="18" customHeight="1">
      <c r="C57" s="570"/>
      <c r="D57" s="748"/>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749"/>
      <c r="AO57" s="749"/>
      <c r="AP57" s="749"/>
      <c r="AQ57" s="749"/>
      <c r="AR57" s="749"/>
      <c r="AS57" s="749"/>
      <c r="AT57" s="749"/>
      <c r="AU57" s="749"/>
      <c r="AV57" s="749"/>
      <c r="AW57" s="749"/>
      <c r="AX57" s="749"/>
      <c r="AY57" s="749"/>
      <c r="AZ57" s="750"/>
      <c r="CW57" s="637">
        <v>226</v>
      </c>
      <c r="CX57" s="637" t="s">
        <v>433</v>
      </c>
      <c r="CY57" s="637">
        <v>60480</v>
      </c>
      <c r="CZ57" s="637">
        <v>26000</v>
      </c>
      <c r="DA57" s="637">
        <v>0</v>
      </c>
      <c r="DB57" s="637">
        <v>26000</v>
      </c>
    </row>
    <row r="58" spans="3:106" ht="16.5" customHeight="1">
      <c r="C58" s="746"/>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331"/>
      <c r="AQ58" s="331"/>
      <c r="AR58" s="331"/>
      <c r="AS58" s="331"/>
      <c r="CW58" s="637">
        <v>232</v>
      </c>
      <c r="CX58" s="637" t="s">
        <v>434</v>
      </c>
      <c r="CY58" s="637">
        <v>45160</v>
      </c>
      <c r="CZ58" s="637">
        <v>2800</v>
      </c>
      <c r="DA58" s="637">
        <v>0</v>
      </c>
      <c r="DB58" s="637">
        <v>6300</v>
      </c>
    </row>
    <row r="59" spans="3:106" ht="13.5">
      <c r="C59" s="747"/>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formatCells="0" formatColumns="0" formatRows="0" insertColumns="0" insertRows="0" insertHyperlinks="0"/>
  <mergeCells count="42">
    <mergeCell ref="AB6:AN6"/>
    <mergeCell ref="C4:AZ4"/>
    <mergeCell ref="D22:AZ22"/>
    <mergeCell ref="D36:AZ36"/>
    <mergeCell ref="D23:AZ23"/>
    <mergeCell ref="AB26:AE26"/>
    <mergeCell ref="AJ26:AN26"/>
    <mergeCell ref="AD28:AL28"/>
    <mergeCell ref="AT31:AY31"/>
    <mergeCell ref="AB30:AE30"/>
    <mergeCell ref="CW5:CZ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F10:AX10">
    <cfRule type="cellIs" priority="70" dxfId="286" operator="lessThan" stopIfTrue="1">
      <formula>F8-F9-(0.01*(F8-F9))</formula>
    </cfRule>
  </conditionalFormatting>
  <conditionalFormatting sqref="F12:AX12">
    <cfRule type="cellIs" priority="71" dxfId="286" operator="lessThan" stopIfTrue="1">
      <formula>F10+F11-(0.01*(F10+F11))</formula>
    </cfRule>
  </conditionalFormatting>
  <conditionalFormatting sqref="F13">
    <cfRule type="cellIs" priority="72" dxfId="286" operator="lessThan" stopIfTrue="1">
      <formula>0.99*(F14+F15)</formula>
    </cfRule>
  </conditionalFormatting>
  <conditionalFormatting sqref="H13">
    <cfRule type="cellIs" priority="27" dxfId="286" operator="lessThan" stopIfTrue="1">
      <formula>0.99*(H14+H15)</formula>
    </cfRule>
  </conditionalFormatting>
  <conditionalFormatting sqref="J13">
    <cfRule type="cellIs" priority="26" dxfId="286" operator="lessThan" stopIfTrue="1">
      <formula>0.99*(J14+J15)</formula>
    </cfRule>
  </conditionalFormatting>
  <conditionalFormatting sqref="L13">
    <cfRule type="cellIs" priority="25" dxfId="286" operator="lessThan" stopIfTrue="1">
      <formula>0.99*(L14+L15)</formula>
    </cfRule>
  </conditionalFormatting>
  <conditionalFormatting sqref="N13">
    <cfRule type="cellIs" priority="24" dxfId="286" operator="lessThan" stopIfTrue="1">
      <formula>0.99*(N14+N15)</formula>
    </cfRule>
  </conditionalFormatting>
  <conditionalFormatting sqref="P13">
    <cfRule type="cellIs" priority="23" dxfId="286" operator="lessThan" stopIfTrue="1">
      <formula>0.99*(P14+P15)</formula>
    </cfRule>
  </conditionalFormatting>
  <conditionalFormatting sqref="R13">
    <cfRule type="cellIs" priority="22" dxfId="286" operator="lessThan" stopIfTrue="1">
      <formula>0.99*(R14+R15)</formula>
    </cfRule>
  </conditionalFormatting>
  <conditionalFormatting sqref="T13">
    <cfRule type="cellIs" priority="21" dxfId="286" operator="lessThan" stopIfTrue="1">
      <formula>0.99*(T14+T15)</formula>
    </cfRule>
  </conditionalFormatting>
  <conditionalFormatting sqref="V13">
    <cfRule type="cellIs" priority="20" dxfId="286" operator="lessThan" stopIfTrue="1">
      <formula>0.99*(V14+V15)</formula>
    </cfRule>
  </conditionalFormatting>
  <conditionalFormatting sqref="X13">
    <cfRule type="cellIs" priority="19" dxfId="286" operator="lessThan" stopIfTrue="1">
      <formula>0.99*(X14+X15)</formula>
    </cfRule>
  </conditionalFormatting>
  <conditionalFormatting sqref="Z13">
    <cfRule type="cellIs" priority="18" dxfId="286" operator="lessThan" stopIfTrue="1">
      <formula>0.99*(Z14+Z15)</formula>
    </cfRule>
  </conditionalFormatting>
  <conditionalFormatting sqref="AB13">
    <cfRule type="cellIs" priority="17" dxfId="286" operator="lessThan" stopIfTrue="1">
      <formula>0.99*(AB14+AB15)</formula>
    </cfRule>
  </conditionalFormatting>
  <conditionalFormatting sqref="AD13">
    <cfRule type="cellIs" priority="16" dxfId="286" operator="lessThan" stopIfTrue="1">
      <formula>0.99*(AD14+AD15)</formula>
    </cfRule>
  </conditionalFormatting>
  <conditionalFormatting sqref="AF13">
    <cfRule type="cellIs" priority="15" dxfId="286" operator="lessThan" stopIfTrue="1">
      <formula>0.99*(AF14+AF15)</formula>
    </cfRule>
  </conditionalFormatting>
  <conditionalFormatting sqref="AH13">
    <cfRule type="cellIs" priority="14" dxfId="286" operator="lessThan" stopIfTrue="1">
      <formula>0.99*(AH14+AH15)</formula>
    </cfRule>
  </conditionalFormatting>
  <conditionalFormatting sqref="AJ13">
    <cfRule type="cellIs" priority="13" dxfId="286" operator="lessThan" stopIfTrue="1">
      <formula>0.99*(AJ14+AJ15)</formula>
    </cfRule>
  </conditionalFormatting>
  <conditionalFormatting sqref="AR13">
    <cfRule type="cellIs" priority="10" dxfId="286" operator="lessThan" stopIfTrue="1">
      <formula>0.99*(AR14+AR15)</formula>
    </cfRule>
  </conditionalFormatting>
  <conditionalFormatting sqref="AN13">
    <cfRule type="cellIs" priority="12" dxfId="286" operator="lessThan" stopIfTrue="1">
      <formula>0.99*(AN14+AN15)</formula>
    </cfRule>
  </conditionalFormatting>
  <conditionalFormatting sqref="AP13">
    <cfRule type="cellIs" priority="11" dxfId="286" operator="lessThan" stopIfTrue="1">
      <formula>0.99*(AP14+AP15)</formula>
    </cfRule>
  </conditionalFormatting>
  <conditionalFormatting sqref="AT13">
    <cfRule type="cellIs" priority="9" dxfId="286" operator="lessThan" stopIfTrue="1">
      <formula>0.99*(AT14+AT15)</formula>
    </cfRule>
  </conditionalFormatting>
  <conditionalFormatting sqref="AV13">
    <cfRule type="cellIs" priority="8" dxfId="286" operator="lessThan" stopIfTrue="1">
      <formula>0.99*(AV14+AV15)</formula>
    </cfRule>
  </conditionalFormatting>
  <conditionalFormatting sqref="AX13">
    <cfRule type="cellIs" priority="7" dxfId="286" operator="lessThan" stopIfTrue="1">
      <formula>0.99*(AX14+AX15)</formula>
    </cfRule>
  </conditionalFormatting>
  <conditionalFormatting sqref="AL13">
    <cfRule type="cellIs" priority="4" dxfId="286" operator="lessThan" stopIfTrue="1">
      <formula>0.99*(AL14+AL15)</formula>
    </cfRule>
  </conditionalFormatting>
  <conditionalFormatting sqref="BE32 BE35 BE38 BE29">
    <cfRule type="cellIs" priority="1" dxfId="286"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286"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286"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G95"/>
  <sheetViews>
    <sheetView showGridLines="0" zoomScale="83" zoomScaleNormal="83" zoomScaleSheetLayoutView="85" workbookViewId="0" topLeftCell="C1">
      <selection activeCell="F8" sqref="F8"/>
    </sheetView>
  </sheetViews>
  <sheetFormatPr defaultColWidth="9.33203125" defaultRowHeight="12.75"/>
  <cols>
    <col min="1" max="1" width="5.83203125" style="221" hidden="1" customWidth="1"/>
    <col min="2" max="2" width="7.1601562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hidden="1" customWidth="1"/>
    <col min="9" max="9" width="1.83203125" style="232" hidden="1"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v>520</v>
      </c>
      <c r="C3" s="349" t="s">
        <v>358</v>
      </c>
      <c r="D3" s="621" t="s">
        <v>185</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t="s">
        <v>604</v>
      </c>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812" t="s">
        <v>101</v>
      </c>
      <c r="D5" s="812"/>
      <c r="E5" s="813"/>
      <c r="F5" s="813"/>
      <c r="G5" s="813"/>
      <c r="H5" s="814"/>
      <c r="I5" s="814"/>
      <c r="J5" s="814"/>
      <c r="K5" s="814"/>
      <c r="L5" s="814"/>
      <c r="M5" s="814"/>
      <c r="N5" s="814"/>
      <c r="O5" s="814"/>
      <c r="P5" s="814"/>
      <c r="Q5" s="814"/>
      <c r="R5" s="814"/>
      <c r="S5" s="814"/>
      <c r="T5" s="814"/>
      <c r="U5" s="814"/>
      <c r="V5" s="814"/>
      <c r="W5" s="813"/>
      <c r="X5" s="814"/>
      <c r="Y5" s="813"/>
      <c r="Z5" s="814"/>
      <c r="AA5" s="813"/>
      <c r="AB5" s="814"/>
      <c r="AC5" s="813"/>
      <c r="AD5" s="814"/>
      <c r="AE5" s="813"/>
      <c r="AF5" s="814"/>
      <c r="AG5" s="813"/>
      <c r="AH5" s="814"/>
      <c r="AI5" s="814"/>
      <c r="AJ5" s="814"/>
      <c r="AK5" s="813"/>
      <c r="AL5" s="814"/>
      <c r="AM5" s="813"/>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v>0</v>
      </c>
      <c r="G8" s="627"/>
      <c r="H8" s="612"/>
      <c r="I8" s="627"/>
      <c r="J8" s="612"/>
      <c r="K8" s="627"/>
      <c r="L8" s="612"/>
      <c r="M8" s="627"/>
      <c r="N8" s="612"/>
      <c r="O8" s="627"/>
      <c r="P8" s="612"/>
      <c r="Q8" s="627"/>
      <c r="R8" s="612"/>
      <c r="S8" s="627"/>
      <c r="T8" s="612"/>
      <c r="U8" s="627"/>
      <c r="V8" s="612"/>
      <c r="W8" s="627"/>
      <c r="X8" s="612"/>
      <c r="Y8" s="627"/>
      <c r="Z8" s="612">
        <v>0</v>
      </c>
      <c r="AA8" s="627"/>
      <c r="AB8" s="612">
        <v>0</v>
      </c>
      <c r="AC8" s="627"/>
      <c r="AD8" s="612">
        <v>0</v>
      </c>
      <c r="AE8" s="627"/>
      <c r="AF8" s="612">
        <v>0</v>
      </c>
      <c r="AG8" s="627"/>
      <c r="AH8" s="612">
        <v>0</v>
      </c>
      <c r="AI8" s="627"/>
      <c r="AJ8" s="612">
        <v>0</v>
      </c>
      <c r="AK8" s="627"/>
      <c r="AL8" s="612">
        <v>0</v>
      </c>
      <c r="AM8" s="627"/>
      <c r="AN8" s="612">
        <v>0</v>
      </c>
      <c r="AO8" s="627"/>
      <c r="AP8" s="612">
        <v>0</v>
      </c>
      <c r="AQ8" s="627"/>
      <c r="AR8" s="612">
        <v>0</v>
      </c>
      <c r="AS8" s="627"/>
      <c r="AT8" s="612">
        <v>0</v>
      </c>
      <c r="AU8" s="627"/>
      <c r="AV8" s="612">
        <v>0</v>
      </c>
      <c r="AW8" s="627"/>
      <c r="AY8" s="380"/>
      <c r="AZ8" s="101">
        <v>1</v>
      </c>
      <c r="BA8" s="303" t="s">
        <v>138</v>
      </c>
      <c r="BB8" s="101" t="s">
        <v>93</v>
      </c>
      <c r="BC8" s="82" t="s">
        <v>97</v>
      </c>
      <c r="BD8" s="646"/>
      <c r="BE8" s="82" t="str">
        <f>IF(OR(ISBLANK(F8),ISBLANK(H8)),"N/A",IF(ABS((H8-F8)/F8)&gt;1,"&gt; 100%","ok"))</f>
        <v>N/A</v>
      </c>
      <c r="BF8" s="646"/>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e">
        <f>IF(OR(ISBLANK(Z8),ISBLANK(AB8)),"N/A",IF(ABS((AB8-Z8)/Z8)&gt;0.25,"&gt; 25%","ok"))</f>
        <v>#DIV/0!</v>
      </c>
      <c r="BZ8" s="82"/>
      <c r="CA8" s="82" t="e">
        <f>IF(OR(ISBLANK(AB8),ISBLANK(AD8)),"N/A",IF(ABS((AD8-AB8)/AB8)&gt;0.25,"&gt; 25%","ok"))</f>
        <v>#DIV/0!</v>
      </c>
      <c r="CB8" s="82"/>
      <c r="CC8" s="82" t="e">
        <f>IF(OR(ISBLANK(AD8),ISBLANK(AF8)),"N/A",IF(ABS((AF8-AD8)/AD8)&gt;0.25,"&gt; 25%","ok"))</f>
        <v>#DIV/0!</v>
      </c>
      <c r="CD8" s="82"/>
      <c r="CE8" s="82" t="e">
        <f>IF(OR(ISBLANK(AF8),ISBLANK(AH8)),"N/A",IF(ABS((AH8-AF8)/AF8)&gt;0.25,"&gt; 25%","ok"))</f>
        <v>#DIV/0!</v>
      </c>
      <c r="CF8" s="82"/>
      <c r="CG8" s="82" t="e">
        <f>IF(OR(ISBLANK(AH8),ISBLANK(AJ8)),"N/A",IF(ABS((AJ8-AH8)/AH8)&gt;0.25,"&gt; 25%","ok"))</f>
        <v>#DIV/0!</v>
      </c>
      <c r="CH8" s="82"/>
      <c r="CI8" s="82" t="e">
        <f>IF(OR(ISBLANK(AJ8),ISBLANK(AL8)),"N/A",IF(ABS((AL8-AJ8)/AJ8)&gt;0.25,"&gt; 25%","ok"))</f>
        <v>#DIV/0!</v>
      </c>
      <c r="CJ8" s="82"/>
      <c r="CK8" s="82" t="e">
        <f>IF(OR(ISBLANK(AL8),ISBLANK(AN8)),"N/A",IF(ABS((AN8-AL8)/AL8)&gt;0.25,"&gt; 25%","ok"))</f>
        <v>#DIV/0!</v>
      </c>
      <c r="CL8" s="82"/>
      <c r="CM8" s="82" t="e">
        <f>IF(OR(ISBLANK(AN8),ISBLANK(AP8)),"N/A",IF(ABS((AP8-AN8)/AN8)&gt;0.25,"&gt; 25%","ok"))</f>
        <v>#DIV/0!</v>
      </c>
      <c r="CN8" s="82"/>
      <c r="CO8" s="82" t="e">
        <f>IF(OR(ISBLANK(AP8),ISBLANK(AR8)),"N/A",IF(ABS((AR8-AP8)/AP8)&gt;0.25,"&gt; 25%","ok"))</f>
        <v>#DIV/0!</v>
      </c>
      <c r="CP8" s="82"/>
      <c r="CQ8" s="82" t="e">
        <f>IF(OR(ISBLANK(AR8),ISBLANK(AT8)),"N/A",IF(ABS((AT8-AR8)/AR8)&gt;0.25,"&gt; 25%","ok"))</f>
        <v>#DIV/0!</v>
      </c>
      <c r="CR8" s="82"/>
      <c r="CS8" s="82" t="e">
        <f>IF(OR(ISBLANK(AT8),ISBLANK(AV8)),"N/A",IF(ABS((AV8-AT8)/AT8)&gt;0.25,"&gt; 25%","ok"))</f>
        <v>#DIV/0!</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6"/>
      <c r="BE9" s="82" t="str">
        <f>IF(OR(ISBLANK(F9),ISBLANK(H9)),"N/A",IF(ABS((H9-F9)/F9)&gt;1,"&gt; 100%","ok"))</f>
        <v>N/A</v>
      </c>
      <c r="BF9" s="646"/>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Y10" s="387"/>
      <c r="AZ10" s="388">
        <v>3</v>
      </c>
      <c r="BA10" s="389" t="s">
        <v>140</v>
      </c>
      <c r="BB10" s="84" t="s">
        <v>93</v>
      </c>
      <c r="BC10" s="110" t="s">
        <v>97</v>
      </c>
      <c r="BD10" s="655"/>
      <c r="BE10" s="82" t="str">
        <f aca="true" t="shared" si="2" ref="BE10:BE26">IF(OR(ISBLANK(F10),ISBLANK(H10)),"N/A",IF(ABS((H10-F10)/F10)&gt;1,"&gt; 100%","ok"))</f>
        <v>N/A</v>
      </c>
      <c r="BF10" s="646"/>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6"/>
      <c r="BE11" s="82"/>
      <c r="BF11" s="646"/>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c r="AM12" s="627"/>
      <c r="AN12" s="612"/>
      <c r="AO12" s="627"/>
      <c r="AP12" s="612"/>
      <c r="AQ12" s="627"/>
      <c r="AR12" s="612"/>
      <c r="AS12" s="627"/>
      <c r="AT12" s="612"/>
      <c r="AU12" s="627"/>
      <c r="AV12" s="612"/>
      <c r="AW12" s="627"/>
      <c r="AY12" s="224"/>
      <c r="AZ12" s="84">
        <v>4</v>
      </c>
      <c r="BA12" s="393" t="s">
        <v>148</v>
      </c>
      <c r="BB12" s="84" t="s">
        <v>93</v>
      </c>
      <c r="BC12" s="82" t="s">
        <v>97</v>
      </c>
      <c r="BD12" s="646"/>
      <c r="BE12" s="82" t="str">
        <f t="shared" si="2"/>
        <v>N/A</v>
      </c>
      <c r="BF12" s="646"/>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6"/>
      <c r="BE13" s="82" t="str">
        <f t="shared" si="2"/>
        <v>N/A</v>
      </c>
      <c r="BF13" s="646"/>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6"/>
      <c r="BE14" s="82" t="str">
        <f t="shared" si="2"/>
        <v>N/A</v>
      </c>
      <c r="BF14" s="646"/>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6"/>
      <c r="BE15" s="82" t="str">
        <f t="shared" si="2"/>
        <v>N/A</v>
      </c>
      <c r="BF15" s="646"/>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6"/>
      <c r="BE16" s="82" t="str">
        <f t="shared" si="2"/>
        <v>N/A</v>
      </c>
      <c r="BF16" s="646"/>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6"/>
      <c r="BE17" s="82" t="str">
        <f t="shared" si="2"/>
        <v>N/A</v>
      </c>
      <c r="BF17" s="646"/>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c r="W18" s="627"/>
      <c r="X18" s="612"/>
      <c r="Y18" s="627"/>
      <c r="Z18" s="612"/>
      <c r="AA18" s="627"/>
      <c r="AB18" s="612"/>
      <c r="AC18" s="627"/>
      <c r="AD18" s="612"/>
      <c r="AE18" s="627"/>
      <c r="AF18" s="612"/>
      <c r="AG18" s="627"/>
      <c r="AH18" s="612"/>
      <c r="AI18" s="627"/>
      <c r="AJ18" s="612"/>
      <c r="AK18" s="627"/>
      <c r="AL18" s="612"/>
      <c r="AM18" s="627"/>
      <c r="AN18" s="612"/>
      <c r="AO18" s="627"/>
      <c r="AP18" s="612"/>
      <c r="AQ18" s="627"/>
      <c r="AR18" s="612"/>
      <c r="AS18" s="627"/>
      <c r="AT18" s="612"/>
      <c r="AU18" s="627"/>
      <c r="AV18" s="612"/>
      <c r="AW18" s="627"/>
      <c r="AY18" s="224"/>
      <c r="AZ18" s="84">
        <v>10</v>
      </c>
      <c r="BA18" s="303" t="s">
        <v>346</v>
      </c>
      <c r="BB18" s="84" t="s">
        <v>93</v>
      </c>
      <c r="BC18" s="82" t="s">
        <v>97</v>
      </c>
      <c r="BD18" s="646"/>
      <c r="BE18" s="82" t="str">
        <f t="shared" si="2"/>
        <v>N/A</v>
      </c>
      <c r="BF18" s="646"/>
      <c r="BG18" s="82" t="str">
        <f t="shared" si="17"/>
        <v>N/A</v>
      </c>
      <c r="BH18" s="82"/>
      <c r="BI18" s="82" t="str">
        <f t="shared" si="18"/>
        <v>N/A</v>
      </c>
      <c r="BJ18" s="82"/>
      <c r="BK18" s="82" t="str">
        <f>IF(OR(ISBLANK(L18),ISBLANK(N18)),"N/A",IF(ABS((N18-L18)/L18)&gt;0.25,"&gt; 25%","ok"))</f>
        <v>N/A</v>
      </c>
      <c r="BL18" s="82"/>
      <c r="BM18" s="82" t="str">
        <f t="shared" si="20"/>
        <v>N/A</v>
      </c>
      <c r="BN18" s="82"/>
      <c r="BO18" s="82" t="str">
        <f t="shared" si="3"/>
        <v>N/A</v>
      </c>
      <c r="BP18" s="82"/>
      <c r="BQ18" s="82" t="str">
        <f t="shared" si="4"/>
        <v>N/A</v>
      </c>
      <c r="BR18" s="82"/>
      <c r="BS18" s="82" t="str">
        <f t="shared" si="5"/>
        <v>N/A</v>
      </c>
      <c r="BT18" s="82"/>
      <c r="BU18" s="82" t="str">
        <f t="shared" si="6"/>
        <v>N/A</v>
      </c>
      <c r="BV18" s="82"/>
      <c r="BW18" s="82" t="str">
        <f t="shared" si="7"/>
        <v>N/A</v>
      </c>
      <c r="BX18" s="82"/>
      <c r="BY18" s="82" t="str">
        <f t="shared" si="8"/>
        <v>N/A</v>
      </c>
      <c r="BZ18" s="82"/>
      <c r="CA18" s="82" t="str">
        <f t="shared" si="9"/>
        <v>N/A</v>
      </c>
      <c r="CB18" s="82"/>
      <c r="CC18" s="82" t="str">
        <f t="shared" si="10"/>
        <v>N/A</v>
      </c>
      <c r="CD18" s="82"/>
      <c r="CE18" s="82" t="str">
        <f t="shared" si="11"/>
        <v>N/A</v>
      </c>
      <c r="CF18" s="82"/>
      <c r="CG18" s="82" t="str">
        <f t="shared" si="12"/>
        <v>N/A</v>
      </c>
      <c r="CH18" s="82"/>
      <c r="CI18" s="82" t="str">
        <f t="shared" si="13"/>
        <v>N/A</v>
      </c>
      <c r="CJ18" s="82"/>
      <c r="CK18" s="82" t="str">
        <f t="shared" si="14"/>
        <v>N/A</v>
      </c>
      <c r="CL18" s="82"/>
      <c r="CM18" s="82" t="str">
        <f t="shared" si="0"/>
        <v>N/A</v>
      </c>
      <c r="CN18" s="82"/>
      <c r="CO18" s="82" t="str">
        <f t="shared" si="15"/>
        <v>N/A</v>
      </c>
      <c r="CP18" s="82"/>
      <c r="CQ18" s="82" t="str">
        <f t="shared" si="16"/>
        <v>N/A</v>
      </c>
      <c r="CR18" s="82"/>
      <c r="CS18" s="82" t="str">
        <f t="shared" si="1"/>
        <v>N/A</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12"/>
      <c r="AK19" s="627"/>
      <c r="AL19" s="612"/>
      <c r="AM19" s="627"/>
      <c r="AN19" s="612"/>
      <c r="AO19" s="627"/>
      <c r="AP19" s="612"/>
      <c r="AQ19" s="627"/>
      <c r="AR19" s="612"/>
      <c r="AS19" s="627"/>
      <c r="AT19" s="612"/>
      <c r="AU19" s="627"/>
      <c r="AV19" s="612"/>
      <c r="AW19" s="627"/>
      <c r="AY19" s="224"/>
      <c r="AZ19" s="84">
        <v>11</v>
      </c>
      <c r="BA19" s="303" t="s">
        <v>581</v>
      </c>
      <c r="BB19" s="84" t="s">
        <v>93</v>
      </c>
      <c r="BC19" s="82" t="s">
        <v>97</v>
      </c>
      <c r="BD19" s="646"/>
      <c r="BE19" s="82" t="str">
        <f t="shared" si="2"/>
        <v>N/A</v>
      </c>
      <c r="BF19" s="646"/>
      <c r="BG19" s="82" t="str">
        <f t="shared" si="17"/>
        <v>N/A</v>
      </c>
      <c r="BH19" s="82"/>
      <c r="BI19" s="82" t="str">
        <f t="shared" si="18"/>
        <v>N/A</v>
      </c>
      <c r="BJ19" s="82"/>
      <c r="BK19" s="82" t="str">
        <f t="shared" si="19"/>
        <v>N/A</v>
      </c>
      <c r="BL19" s="82"/>
      <c r="BM19" s="82" t="str">
        <f t="shared" si="20"/>
        <v>N/A</v>
      </c>
      <c r="BN19" s="82"/>
      <c r="BO19" s="82" t="str">
        <f t="shared" si="3"/>
        <v>N/A</v>
      </c>
      <c r="BP19" s="82"/>
      <c r="BQ19" s="82" t="str">
        <f t="shared" si="4"/>
        <v>N/A</v>
      </c>
      <c r="BR19" s="82"/>
      <c r="BS19" s="82" t="str">
        <f t="shared" si="5"/>
        <v>N/A</v>
      </c>
      <c r="BT19" s="82"/>
      <c r="BU19" s="82" t="str">
        <f t="shared" si="6"/>
        <v>N/A</v>
      </c>
      <c r="BV19" s="82"/>
      <c r="BW19" s="82" t="str">
        <f t="shared" si="7"/>
        <v>N/A</v>
      </c>
      <c r="BX19" s="82"/>
      <c r="BY19" s="82" t="str">
        <f t="shared" si="8"/>
        <v>N/A</v>
      </c>
      <c r="BZ19" s="82"/>
      <c r="CA19" s="82" t="str">
        <f t="shared" si="9"/>
        <v>N/A</v>
      </c>
      <c r="CB19" s="82"/>
      <c r="CC19" s="82" t="str">
        <f t="shared" si="10"/>
        <v>N/A</v>
      </c>
      <c r="CD19" s="82"/>
      <c r="CE19" s="82" t="str">
        <f t="shared" si="11"/>
        <v>N/A</v>
      </c>
      <c r="CF19" s="82"/>
      <c r="CG19" s="82" t="str">
        <f t="shared" si="12"/>
        <v>N/A</v>
      </c>
      <c r="CH19" s="82"/>
      <c r="CI19" s="82" t="str">
        <f t="shared" si="13"/>
        <v>N/A</v>
      </c>
      <c r="CJ19" s="82"/>
      <c r="CK19" s="82" t="str">
        <f t="shared" si="14"/>
        <v>N/A</v>
      </c>
      <c r="CL19" s="82"/>
      <c r="CM19" s="82" t="str">
        <f t="shared" si="0"/>
        <v>N/A</v>
      </c>
      <c r="CN19" s="82"/>
      <c r="CO19" s="82" t="str">
        <f t="shared" si="15"/>
        <v>N/A</v>
      </c>
      <c r="CP19" s="82"/>
      <c r="CQ19" s="82" t="str">
        <f t="shared" si="16"/>
        <v>N/A</v>
      </c>
      <c r="CR19" s="82"/>
      <c r="CS19" s="82" t="str">
        <f t="shared" si="1"/>
        <v>N/A</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12"/>
      <c r="AK20" s="627"/>
      <c r="AL20" s="612"/>
      <c r="AM20" s="627"/>
      <c r="AN20" s="612"/>
      <c r="AO20" s="627"/>
      <c r="AP20" s="612"/>
      <c r="AQ20" s="627"/>
      <c r="AR20" s="612"/>
      <c r="AS20" s="627"/>
      <c r="AT20" s="612"/>
      <c r="AU20" s="627"/>
      <c r="AV20" s="612"/>
      <c r="AW20" s="627"/>
      <c r="AY20" s="224"/>
      <c r="AZ20" s="84">
        <v>12</v>
      </c>
      <c r="BA20" s="303" t="s">
        <v>575</v>
      </c>
      <c r="BB20" s="84" t="s">
        <v>93</v>
      </c>
      <c r="BC20" s="82" t="s">
        <v>97</v>
      </c>
      <c r="BD20" s="646"/>
      <c r="BE20" s="82" t="str">
        <f t="shared" si="2"/>
        <v>N/A</v>
      </c>
      <c r="BF20" s="646"/>
      <c r="BG20" s="82" t="str">
        <f t="shared" si="17"/>
        <v>N/A</v>
      </c>
      <c r="BH20" s="82"/>
      <c r="BI20" s="82" t="str">
        <f>IF(OR(ISBLANK(J20),ISBLANK(L20)),"N/A",IF(ABS((L20-J20)/J20)&gt;0.25,"&gt; 25%","ok"))</f>
        <v>N/A</v>
      </c>
      <c r="BJ20" s="82"/>
      <c r="BK20" s="82" t="str">
        <f t="shared" si="19"/>
        <v>N/A</v>
      </c>
      <c r="BL20" s="82"/>
      <c r="BM20" s="82" t="str">
        <f t="shared" si="20"/>
        <v>N/A</v>
      </c>
      <c r="BN20" s="82"/>
      <c r="BO20" s="82" t="str">
        <f t="shared" si="3"/>
        <v>N/A</v>
      </c>
      <c r="BP20" s="82"/>
      <c r="BQ20" s="82" t="str">
        <f t="shared" si="4"/>
        <v>N/A</v>
      </c>
      <c r="BR20" s="82"/>
      <c r="BS20" s="82" t="str">
        <f t="shared" si="5"/>
        <v>N/A</v>
      </c>
      <c r="BT20" s="82"/>
      <c r="BU20" s="82" t="str">
        <f t="shared" si="6"/>
        <v>N/A</v>
      </c>
      <c r="BV20" s="82"/>
      <c r="BW20" s="82" t="str">
        <f t="shared" si="7"/>
        <v>N/A</v>
      </c>
      <c r="BX20" s="82"/>
      <c r="BY20" s="82" t="str">
        <f t="shared" si="8"/>
        <v>N/A</v>
      </c>
      <c r="BZ20" s="82"/>
      <c r="CA20" s="82" t="str">
        <f t="shared" si="9"/>
        <v>N/A</v>
      </c>
      <c r="CB20" s="82"/>
      <c r="CC20" s="82" t="str">
        <f t="shared" si="10"/>
        <v>N/A</v>
      </c>
      <c r="CD20" s="82"/>
      <c r="CE20" s="82" t="str">
        <f t="shared" si="11"/>
        <v>N/A</v>
      </c>
      <c r="CF20" s="82"/>
      <c r="CG20" s="82" t="str">
        <f t="shared" si="12"/>
        <v>N/A</v>
      </c>
      <c r="CH20" s="82"/>
      <c r="CI20" s="82" t="str">
        <f t="shared" si="13"/>
        <v>N/A</v>
      </c>
      <c r="CJ20" s="82"/>
      <c r="CK20" s="82" t="str">
        <f t="shared" si="14"/>
        <v>N/A</v>
      </c>
      <c r="CL20" s="82"/>
      <c r="CM20" s="82" t="str">
        <f t="shared" si="0"/>
        <v>N/A</v>
      </c>
      <c r="CN20" s="82"/>
      <c r="CO20" s="82" t="str">
        <f t="shared" si="15"/>
        <v>N/A</v>
      </c>
      <c r="CP20" s="82"/>
      <c r="CQ20" s="82" t="str">
        <f t="shared" si="16"/>
        <v>N/A</v>
      </c>
      <c r="CR20" s="82"/>
      <c r="CS20" s="82" t="str">
        <f t="shared" si="1"/>
        <v>N/A</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12"/>
      <c r="AK21" s="627"/>
      <c r="AL21" s="612"/>
      <c r="AM21" s="627"/>
      <c r="AN21" s="612"/>
      <c r="AO21" s="627"/>
      <c r="AP21" s="612"/>
      <c r="AQ21" s="627"/>
      <c r="AR21" s="612"/>
      <c r="AS21" s="627"/>
      <c r="AT21" s="612"/>
      <c r="AU21" s="627"/>
      <c r="AV21" s="612"/>
      <c r="AW21" s="627"/>
      <c r="AY21" s="224"/>
      <c r="AZ21" s="84">
        <v>13</v>
      </c>
      <c r="BA21" s="303" t="s">
        <v>102</v>
      </c>
      <c r="BB21" s="84" t="s">
        <v>93</v>
      </c>
      <c r="BC21" s="82" t="s">
        <v>97</v>
      </c>
      <c r="BD21" s="646"/>
      <c r="BE21" s="82" t="str">
        <f t="shared" si="2"/>
        <v>N/A</v>
      </c>
      <c r="BF21" s="646"/>
      <c r="BG21" s="82" t="str">
        <f t="shared" si="17"/>
        <v>N/A</v>
      </c>
      <c r="BH21" s="82"/>
      <c r="BI21" s="82" t="str">
        <f t="shared" si="18"/>
        <v>N/A</v>
      </c>
      <c r="BJ21" s="82"/>
      <c r="BK21" s="82" t="str">
        <f t="shared" si="19"/>
        <v>N/A</v>
      </c>
      <c r="BL21" s="82"/>
      <c r="BM21" s="82" t="str">
        <f t="shared" si="20"/>
        <v>N/A</v>
      </c>
      <c r="BN21" s="82"/>
      <c r="BO21" s="82" t="str">
        <f t="shared" si="3"/>
        <v>N/A</v>
      </c>
      <c r="BP21" s="82"/>
      <c r="BQ21" s="82" t="str">
        <f t="shared" si="4"/>
        <v>N/A</v>
      </c>
      <c r="BR21" s="82"/>
      <c r="BS21" s="82" t="str">
        <f t="shared" si="5"/>
        <v>N/A</v>
      </c>
      <c r="BT21" s="82"/>
      <c r="BU21" s="82" t="str">
        <f t="shared" si="6"/>
        <v>N/A</v>
      </c>
      <c r="BV21" s="82"/>
      <c r="BW21" s="82" t="str">
        <f t="shared" si="7"/>
        <v>N/A</v>
      </c>
      <c r="BX21" s="82"/>
      <c r="BY21" s="82" t="str">
        <f t="shared" si="8"/>
        <v>N/A</v>
      </c>
      <c r="BZ21" s="82"/>
      <c r="CA21" s="82" t="str">
        <f t="shared" si="9"/>
        <v>N/A</v>
      </c>
      <c r="CB21" s="82"/>
      <c r="CC21" s="82" t="str">
        <f t="shared" si="10"/>
        <v>N/A</v>
      </c>
      <c r="CD21" s="82"/>
      <c r="CE21" s="82" t="str">
        <f t="shared" si="11"/>
        <v>N/A</v>
      </c>
      <c r="CF21" s="82"/>
      <c r="CG21" s="82" t="str">
        <f t="shared" si="12"/>
        <v>N/A</v>
      </c>
      <c r="CH21" s="82"/>
      <c r="CI21" s="82" t="str">
        <f t="shared" si="13"/>
        <v>N/A</v>
      </c>
      <c r="CJ21" s="82"/>
      <c r="CK21" s="82" t="str">
        <f t="shared" si="14"/>
        <v>N/A</v>
      </c>
      <c r="CL21" s="82"/>
      <c r="CM21" s="82" t="str">
        <f t="shared" si="0"/>
        <v>N/A</v>
      </c>
      <c r="CN21" s="82"/>
      <c r="CO21" s="82" t="str">
        <f t="shared" si="15"/>
        <v>N/A</v>
      </c>
      <c r="CP21" s="82"/>
      <c r="CQ21" s="82" t="str">
        <f t="shared" si="16"/>
        <v>N/A</v>
      </c>
      <c r="CR21" s="82"/>
      <c r="CS21" s="82" t="str">
        <f t="shared" si="1"/>
        <v>N/A</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c r="AM22" s="627"/>
      <c r="AN22" s="612"/>
      <c r="AO22" s="627"/>
      <c r="AP22" s="612"/>
      <c r="AQ22" s="627"/>
      <c r="AR22" s="612"/>
      <c r="AS22" s="627"/>
      <c r="AT22" s="612"/>
      <c r="AU22" s="627"/>
      <c r="AV22" s="612"/>
      <c r="AW22" s="627"/>
      <c r="AY22" s="398"/>
      <c r="AZ22" s="388">
        <v>14</v>
      </c>
      <c r="BA22" s="389" t="s">
        <v>508</v>
      </c>
      <c r="BB22" s="84" t="s">
        <v>93</v>
      </c>
      <c r="BC22" s="82" t="s">
        <v>97</v>
      </c>
      <c r="BD22" s="655"/>
      <c r="BE22" s="82" t="str">
        <f t="shared" si="2"/>
        <v>N/A</v>
      </c>
      <c r="BF22" s="655"/>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12"/>
      <c r="AS23" s="627"/>
      <c r="AT23" s="612"/>
      <c r="AU23" s="627"/>
      <c r="AV23" s="612"/>
      <c r="AW23" s="627"/>
      <c r="AY23" s="398"/>
      <c r="AZ23" s="388">
        <v>15</v>
      </c>
      <c r="BA23" s="389" t="s">
        <v>15</v>
      </c>
      <c r="BB23" s="84" t="s">
        <v>93</v>
      </c>
      <c r="BC23" s="82" t="s">
        <v>97</v>
      </c>
      <c r="BD23" s="655"/>
      <c r="BE23" s="82" t="str">
        <f t="shared" si="2"/>
        <v>N/A</v>
      </c>
      <c r="BF23" s="655"/>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12"/>
      <c r="AS24" s="627"/>
      <c r="AT24" s="612"/>
      <c r="AU24" s="627"/>
      <c r="AV24" s="612"/>
      <c r="AW24" s="627"/>
      <c r="AY24" s="398"/>
      <c r="AZ24" s="388">
        <v>16</v>
      </c>
      <c r="BA24" s="389" t="s">
        <v>509</v>
      </c>
      <c r="BB24" s="84" t="s">
        <v>93</v>
      </c>
      <c r="BC24" s="110" t="s">
        <v>97</v>
      </c>
      <c r="BD24" s="655"/>
      <c r="BE24" s="82" t="str">
        <f t="shared" si="2"/>
        <v>N/A</v>
      </c>
      <c r="BF24" s="655"/>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6"/>
      <c r="BE25" s="82"/>
      <c r="BF25" s="646"/>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c r="G26" s="627"/>
      <c r="H26" s="612"/>
      <c r="I26" s="627"/>
      <c r="J26" s="612"/>
      <c r="K26" s="627"/>
      <c r="L26" s="612"/>
      <c r="M26" s="627"/>
      <c r="N26" s="612"/>
      <c r="O26" s="627"/>
      <c r="P26" s="612"/>
      <c r="Q26" s="627"/>
      <c r="R26" s="612"/>
      <c r="S26" s="627"/>
      <c r="T26" s="612"/>
      <c r="U26" s="627"/>
      <c r="V26" s="612"/>
      <c r="W26" s="627"/>
      <c r="X26" s="612"/>
      <c r="Y26" s="627"/>
      <c r="Z26" s="612"/>
      <c r="AA26" s="627"/>
      <c r="AB26" s="612"/>
      <c r="AC26" s="627"/>
      <c r="AD26" s="612"/>
      <c r="AE26" s="627"/>
      <c r="AF26" s="612"/>
      <c r="AG26" s="627"/>
      <c r="AH26" s="612"/>
      <c r="AI26" s="627"/>
      <c r="AJ26" s="612"/>
      <c r="AK26" s="627"/>
      <c r="AL26" s="612"/>
      <c r="AM26" s="627"/>
      <c r="AN26" s="612"/>
      <c r="AO26" s="627"/>
      <c r="AP26" s="612"/>
      <c r="AQ26" s="627"/>
      <c r="AR26" s="612"/>
      <c r="AS26" s="627"/>
      <c r="AT26" s="612"/>
      <c r="AU26" s="627"/>
      <c r="AV26" s="612"/>
      <c r="AW26" s="627"/>
      <c r="AY26" s="224"/>
      <c r="AZ26" s="84">
        <v>17</v>
      </c>
      <c r="BA26" s="303" t="s">
        <v>449</v>
      </c>
      <c r="BB26" s="84" t="s">
        <v>93</v>
      </c>
      <c r="BC26" s="82" t="s">
        <v>97</v>
      </c>
      <c r="BD26" s="646"/>
      <c r="BE26" s="82" t="str">
        <f t="shared" si="2"/>
        <v>N/A</v>
      </c>
      <c r="BF26" s="646"/>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N/A</v>
      </c>
      <c r="BP26" s="82"/>
      <c r="BQ26" s="82" t="str">
        <f t="shared" si="4"/>
        <v>N/A</v>
      </c>
      <c r="BR26" s="82"/>
      <c r="BS26" s="82" t="str">
        <f t="shared" si="5"/>
        <v>N/A</v>
      </c>
      <c r="BT26" s="82"/>
      <c r="BU26" s="82">
        <v>0</v>
      </c>
      <c r="BV26" s="82"/>
      <c r="BW26" s="82" t="str">
        <f t="shared" si="7"/>
        <v>N/A</v>
      </c>
      <c r="BX26" s="82"/>
      <c r="BY26" s="82" t="str">
        <f t="shared" si="8"/>
        <v>N/A</v>
      </c>
      <c r="BZ26" s="82"/>
      <c r="CA26" s="82" t="str">
        <f t="shared" si="9"/>
        <v>N/A</v>
      </c>
      <c r="CB26" s="82"/>
      <c r="CC26" s="82" t="str">
        <f t="shared" si="10"/>
        <v>N/A</v>
      </c>
      <c r="CD26" s="82"/>
      <c r="CE26" s="82" t="str">
        <f t="shared" si="11"/>
        <v>N/A</v>
      </c>
      <c r="CF26" s="82"/>
      <c r="CG26" s="82" t="str">
        <f t="shared" si="12"/>
        <v>N/A</v>
      </c>
      <c r="CH26" s="82"/>
      <c r="CI26" s="82" t="str">
        <f t="shared" si="13"/>
        <v>N/A</v>
      </c>
      <c r="CJ26" s="82"/>
      <c r="CK26" s="82" t="str">
        <f t="shared" si="14"/>
        <v>N/A</v>
      </c>
      <c r="CL26" s="82"/>
      <c r="CM26" s="82" t="str">
        <f t="shared" si="0"/>
        <v>N/A</v>
      </c>
      <c r="CN26" s="82"/>
      <c r="CO26" s="82" t="str">
        <f t="shared" si="15"/>
        <v>N/A</v>
      </c>
      <c r="CP26" s="82"/>
      <c r="CQ26" s="82" t="str">
        <f t="shared" si="16"/>
        <v>N/A</v>
      </c>
      <c r="CR26" s="82"/>
      <c r="CS26" s="82" t="str">
        <f t="shared" si="1"/>
        <v>N/A</v>
      </c>
    </row>
    <row r="27" spans="1:97" s="390" customFormat="1" ht="15" customHeight="1">
      <c r="A27" s="221"/>
      <c r="B27" s="377">
        <v>280</v>
      </c>
      <c r="C27" s="400">
        <v>18</v>
      </c>
      <c r="D27" s="378" t="s">
        <v>231</v>
      </c>
      <c r="E27" s="265" t="s">
        <v>360</v>
      </c>
      <c r="F27" s="642"/>
      <c r="G27" s="624"/>
      <c r="H27" s="642"/>
      <c r="I27" s="624"/>
      <c r="J27" s="642"/>
      <c r="K27" s="624"/>
      <c r="L27" s="642"/>
      <c r="M27" s="624"/>
      <c r="N27" s="642"/>
      <c r="O27" s="624"/>
      <c r="P27" s="642"/>
      <c r="Q27" s="624"/>
      <c r="R27" s="642"/>
      <c r="S27" s="624"/>
      <c r="T27" s="642"/>
      <c r="U27" s="624"/>
      <c r="V27" s="642"/>
      <c r="W27" s="624"/>
      <c r="X27" s="642"/>
      <c r="Y27" s="624"/>
      <c r="Z27" s="642"/>
      <c r="AA27" s="624"/>
      <c r="AB27" s="642"/>
      <c r="AC27" s="624"/>
      <c r="AD27" s="642"/>
      <c r="AE27" s="624"/>
      <c r="AF27" s="642"/>
      <c r="AG27" s="624"/>
      <c r="AH27" s="642"/>
      <c r="AI27" s="624"/>
      <c r="AJ27" s="642"/>
      <c r="AK27" s="624"/>
      <c r="AL27" s="642"/>
      <c r="AM27" s="624"/>
      <c r="AN27" s="642"/>
      <c r="AO27" s="624"/>
      <c r="AP27" s="642"/>
      <c r="AQ27" s="624"/>
      <c r="AR27" s="642"/>
      <c r="AS27" s="624"/>
      <c r="AT27" s="642"/>
      <c r="AU27" s="624"/>
      <c r="AV27" s="642"/>
      <c r="AW27" s="624"/>
      <c r="AY27" s="224"/>
      <c r="AZ27" s="401">
        <v>18</v>
      </c>
      <c r="BA27" s="303" t="s">
        <v>231</v>
      </c>
      <c r="BB27" s="84" t="s">
        <v>93</v>
      </c>
      <c r="BC27" s="82" t="s">
        <v>97</v>
      </c>
      <c r="BD27" s="647"/>
      <c r="BE27" s="82" t="str">
        <f>IF(OR(ISBLANK(F27),ISBLANK(H27)),"N/A",IF(ABS((H27-F27)/F27)&gt;1,"&gt; 100%","ok"))</f>
        <v>N/A</v>
      </c>
      <c r="BF27" s="646"/>
      <c r="BG27" s="82" t="str">
        <f t="shared" si="21"/>
        <v>N/A</v>
      </c>
      <c r="BH27" s="82"/>
      <c r="BI27" s="82" t="str">
        <f t="shared" si="22"/>
        <v>N/A</v>
      </c>
      <c r="BJ27" s="82"/>
      <c r="BK27" s="82" t="str">
        <f t="shared" si="23"/>
        <v>N/A</v>
      </c>
      <c r="BL27" s="82"/>
      <c r="BM27" s="82" t="str">
        <f t="shared" si="24"/>
        <v>N/A</v>
      </c>
      <c r="BN27" s="82"/>
      <c r="BO27" s="82" t="str">
        <f>IF(OR(ISBLANK(P27),ISBLANK(R27)),"N/A",IF(ABS((R27-P27)/P27)&gt;0.25,"&gt; 25%","ok"))</f>
        <v>N/A</v>
      </c>
      <c r="BP27" s="82"/>
      <c r="BQ27" s="82" t="str">
        <f t="shared" si="4"/>
        <v>N/A</v>
      </c>
      <c r="BR27" s="82"/>
      <c r="BS27" s="82" t="str">
        <f t="shared" si="5"/>
        <v>N/A</v>
      </c>
      <c r="BT27" s="82"/>
      <c r="BU27" s="82" t="str">
        <f t="shared" si="6"/>
        <v>N/A</v>
      </c>
      <c r="BV27" s="82"/>
      <c r="BW27" s="82" t="str">
        <f t="shared" si="7"/>
        <v>N/A</v>
      </c>
      <c r="BX27" s="82"/>
      <c r="BY27" s="82" t="str">
        <f t="shared" si="8"/>
        <v>N/A</v>
      </c>
      <c r="BZ27" s="82"/>
      <c r="CA27" s="82" t="str">
        <f t="shared" si="9"/>
        <v>N/A</v>
      </c>
      <c r="CB27" s="82"/>
      <c r="CC27" s="82" t="str">
        <f t="shared" si="10"/>
        <v>N/A</v>
      </c>
      <c r="CD27" s="82"/>
      <c r="CE27" s="82" t="str">
        <f t="shared" si="11"/>
        <v>N/A</v>
      </c>
      <c r="CF27" s="82"/>
      <c r="CG27" s="82" t="str">
        <f t="shared" si="12"/>
        <v>N/A</v>
      </c>
      <c r="CH27" s="82"/>
      <c r="CI27" s="82" t="str">
        <f t="shared" si="13"/>
        <v>N/A</v>
      </c>
      <c r="CJ27" s="82"/>
      <c r="CK27" s="82" t="str">
        <f t="shared" si="14"/>
        <v>N/A</v>
      </c>
      <c r="CL27" s="82"/>
      <c r="CM27" s="82" t="str">
        <f t="shared" si="0"/>
        <v>N/A</v>
      </c>
      <c r="CN27" s="82"/>
      <c r="CO27" s="82" t="str">
        <f t="shared" si="15"/>
        <v>N/A</v>
      </c>
      <c r="CP27" s="82"/>
      <c r="CQ27" s="82" t="str">
        <f t="shared" si="16"/>
        <v>N/A</v>
      </c>
      <c r="CR27" s="82"/>
      <c r="CS27" s="82" t="str">
        <f t="shared" si="1"/>
        <v>N/A</v>
      </c>
    </row>
    <row r="28" spans="1:97" s="390" customFormat="1" ht="27" customHeight="1">
      <c r="A28" s="221"/>
      <c r="B28" s="377">
        <v>281</v>
      </c>
      <c r="C28" s="400">
        <v>19</v>
      </c>
      <c r="D28" s="378" t="s">
        <v>516</v>
      </c>
      <c r="E28" s="265" t="s">
        <v>360</v>
      </c>
      <c r="F28" s="642"/>
      <c r="G28" s="624"/>
      <c r="H28" s="642"/>
      <c r="I28" s="624"/>
      <c r="J28" s="642"/>
      <c r="K28" s="624"/>
      <c r="L28" s="642"/>
      <c r="M28" s="624"/>
      <c r="N28" s="642"/>
      <c r="O28" s="624"/>
      <c r="P28" s="642"/>
      <c r="Q28" s="624"/>
      <c r="R28" s="642"/>
      <c r="S28" s="624"/>
      <c r="T28" s="642"/>
      <c r="U28" s="624"/>
      <c r="V28" s="642"/>
      <c r="W28" s="624"/>
      <c r="X28" s="642"/>
      <c r="Y28" s="624"/>
      <c r="Z28" s="642"/>
      <c r="AA28" s="624"/>
      <c r="AB28" s="642"/>
      <c r="AC28" s="624"/>
      <c r="AD28" s="642"/>
      <c r="AE28" s="624"/>
      <c r="AF28" s="642"/>
      <c r="AG28" s="624"/>
      <c r="AH28" s="642"/>
      <c r="AI28" s="624"/>
      <c r="AJ28" s="642"/>
      <c r="AK28" s="624"/>
      <c r="AL28" s="642"/>
      <c r="AM28" s="624"/>
      <c r="AN28" s="642"/>
      <c r="AO28" s="624"/>
      <c r="AP28" s="642"/>
      <c r="AQ28" s="624"/>
      <c r="AR28" s="642"/>
      <c r="AS28" s="624"/>
      <c r="AT28" s="642"/>
      <c r="AU28" s="624"/>
      <c r="AV28" s="642"/>
      <c r="AW28" s="624"/>
      <c r="AY28" s="224"/>
      <c r="AZ28" s="401">
        <v>19</v>
      </c>
      <c r="BA28" s="303" t="s">
        <v>599</v>
      </c>
      <c r="BB28" s="84" t="s">
        <v>93</v>
      </c>
      <c r="BC28" s="82"/>
      <c r="BD28" s="647"/>
      <c r="BE28" s="82" t="str">
        <f>IF(OR(ISBLANK(F28),ISBLANK(H28)),"N/A",IF(ABS((H28-F28)/F28)&gt;1,"&gt; 100%","ok"))</f>
        <v>N/A</v>
      </c>
      <c r="BF28" s="646"/>
      <c r="BG28" s="82" t="str">
        <f t="shared" si="21"/>
        <v>N/A</v>
      </c>
      <c r="BH28" s="82"/>
      <c r="BI28" s="82" t="str">
        <f t="shared" si="22"/>
        <v>N/A</v>
      </c>
      <c r="BJ28" s="82"/>
      <c r="BK28" s="82" t="str">
        <f t="shared" si="23"/>
        <v>N/A</v>
      </c>
      <c r="BL28" s="82"/>
      <c r="BM28" s="82" t="str">
        <f>IF(OR(ISBLANK(N28),ISBLANK(P28)),"N/A",IF(ABS((P28-N28)/N28)&gt;0.25,"&gt; 25%","ok"))</f>
        <v>N/A</v>
      </c>
      <c r="BN28" s="82"/>
      <c r="BO28" s="82" t="str">
        <f>IF(OR(ISBLANK(P28),ISBLANK(R28)),"N/A",IF(ABS((R28-P28)/P28)&gt;0.25,"&gt; 25%","ok"))</f>
        <v>N/A</v>
      </c>
      <c r="BP28" s="82"/>
      <c r="BQ28" s="82" t="str">
        <f t="shared" si="4"/>
        <v>N/A</v>
      </c>
      <c r="BR28" s="82"/>
      <c r="BS28" s="82" t="str">
        <f t="shared" si="5"/>
        <v>N/A</v>
      </c>
      <c r="BT28" s="82"/>
      <c r="BU28" s="82" t="str">
        <f t="shared" si="6"/>
        <v>N/A</v>
      </c>
      <c r="BV28" s="82"/>
      <c r="BW28" s="82" t="str">
        <f t="shared" si="7"/>
        <v>N/A</v>
      </c>
      <c r="BX28" s="82"/>
      <c r="BY28" s="82" t="str">
        <f t="shared" si="8"/>
        <v>N/A</v>
      </c>
      <c r="BZ28" s="82"/>
      <c r="CA28" s="82" t="str">
        <f t="shared" si="9"/>
        <v>N/A</v>
      </c>
      <c r="CB28" s="82"/>
      <c r="CC28" s="82" t="str">
        <f t="shared" si="10"/>
        <v>N/A</v>
      </c>
      <c r="CD28" s="82"/>
      <c r="CE28" s="82" t="str">
        <f t="shared" si="11"/>
        <v>N/A</v>
      </c>
      <c r="CF28" s="82"/>
      <c r="CG28" s="82" t="str">
        <f t="shared" si="12"/>
        <v>N/A</v>
      </c>
      <c r="CH28" s="82"/>
      <c r="CI28" s="82" t="str">
        <f t="shared" si="13"/>
        <v>N/A</v>
      </c>
      <c r="CJ28" s="82"/>
      <c r="CK28" s="82" t="str">
        <f t="shared" si="14"/>
        <v>N/A</v>
      </c>
      <c r="CL28" s="82"/>
      <c r="CM28" s="82" t="str">
        <f t="shared" si="0"/>
        <v>N/A</v>
      </c>
      <c r="CN28" s="82"/>
      <c r="CO28" s="82" t="str">
        <f t="shared" si="15"/>
        <v>N/A</v>
      </c>
      <c r="CP28" s="82"/>
      <c r="CQ28" s="82" t="str">
        <f t="shared" si="16"/>
        <v>N/A</v>
      </c>
      <c r="CR28" s="82"/>
      <c r="CS28" s="82" t="str">
        <f t="shared" si="1"/>
        <v>N/A</v>
      </c>
    </row>
    <row r="29" spans="1:97" s="390" customFormat="1" ht="15" customHeight="1">
      <c r="A29" s="221"/>
      <c r="B29" s="377">
        <v>282</v>
      </c>
      <c r="C29" s="400">
        <v>20</v>
      </c>
      <c r="D29" s="378" t="s">
        <v>450</v>
      </c>
      <c r="E29" s="265" t="s">
        <v>360</v>
      </c>
      <c r="F29" s="642"/>
      <c r="G29" s="624"/>
      <c r="H29" s="642"/>
      <c r="I29" s="624"/>
      <c r="J29" s="642"/>
      <c r="K29" s="624"/>
      <c r="L29" s="642"/>
      <c r="M29" s="624"/>
      <c r="N29" s="642"/>
      <c r="O29" s="624"/>
      <c r="P29" s="642"/>
      <c r="Q29" s="624"/>
      <c r="R29" s="642"/>
      <c r="S29" s="624"/>
      <c r="T29" s="642"/>
      <c r="U29" s="624"/>
      <c r="V29" s="642"/>
      <c r="W29" s="624"/>
      <c r="X29" s="642"/>
      <c r="Y29" s="624"/>
      <c r="Z29" s="642"/>
      <c r="AA29" s="624"/>
      <c r="AB29" s="642"/>
      <c r="AC29" s="624"/>
      <c r="AD29" s="642"/>
      <c r="AE29" s="624"/>
      <c r="AF29" s="642"/>
      <c r="AG29" s="624"/>
      <c r="AH29" s="642"/>
      <c r="AI29" s="624"/>
      <c r="AJ29" s="642"/>
      <c r="AK29" s="624"/>
      <c r="AL29" s="642"/>
      <c r="AM29" s="624"/>
      <c r="AN29" s="642"/>
      <c r="AO29" s="624"/>
      <c r="AP29" s="642"/>
      <c r="AQ29" s="624"/>
      <c r="AR29" s="642"/>
      <c r="AS29" s="624"/>
      <c r="AT29" s="642"/>
      <c r="AU29" s="624"/>
      <c r="AV29" s="642"/>
      <c r="AW29" s="624"/>
      <c r="AY29" s="224"/>
      <c r="AZ29" s="401">
        <v>20</v>
      </c>
      <c r="BA29" s="303" t="s">
        <v>450</v>
      </c>
      <c r="BB29" s="84" t="s">
        <v>93</v>
      </c>
      <c r="BC29" s="82" t="s">
        <v>97</v>
      </c>
      <c r="BD29" s="647"/>
      <c r="BE29" s="82" t="str">
        <f>IF(OR(ISBLANK(F29),ISBLANK(H29)),"N/A",IF(ABS((H29-F29)/F29)&gt;1,"&gt; 100%","ok"))</f>
        <v>N/A</v>
      </c>
      <c r="BF29" s="646"/>
      <c r="BG29" s="82" t="str">
        <f t="shared" si="21"/>
        <v>N/A</v>
      </c>
      <c r="BH29" s="82"/>
      <c r="BI29" s="82" t="str">
        <f t="shared" si="22"/>
        <v>N/A</v>
      </c>
      <c r="BJ29" s="82"/>
      <c r="BK29" s="82" t="str">
        <f t="shared" si="23"/>
        <v>N/A</v>
      </c>
      <c r="BL29" s="82"/>
      <c r="BM29" s="82" t="str">
        <f t="shared" si="24"/>
        <v>N/A</v>
      </c>
      <c r="BN29" s="82"/>
      <c r="BO29" s="82" t="str">
        <f>IF(OR(ISBLANK(P29),ISBLANK(R29)),"N/A",IF(ABS((R29-P29)/P29)&gt;0.25,"&gt; 25%","ok"))</f>
        <v>N/A</v>
      </c>
      <c r="BP29" s="82"/>
      <c r="BQ29" s="82" t="str">
        <f>IF(OR(ISBLANK(R29),ISBLANK(T29)),"N/A",IF(ABS((T29-R29)/R29)&gt;0.25,"&gt; 25%","ok"))</f>
        <v>N/A</v>
      </c>
      <c r="BR29" s="82"/>
      <c r="BS29" s="82" t="str">
        <f>IF(OR(ISBLANK(T29),ISBLANK(V29)),"N/A",IF(ABS((V29-T29)/T29)&gt;0.25,"&gt; 25%","ok"))</f>
        <v>N/A</v>
      </c>
      <c r="BT29" s="82"/>
      <c r="BU29" s="82" t="str">
        <f>IF(OR(ISBLANK(V29),ISBLANK(X29)),"N/A",IF(ABS((X29-V29)/V29)&gt;0.25,"&gt; 25%","ok"))</f>
        <v>N/A</v>
      </c>
      <c r="BV29" s="82"/>
      <c r="BW29" s="82" t="str">
        <f>IF(OR(ISBLANK(X29),ISBLANK(Z29)),"N/A",IF(ABS((Z29-X29)/X29)&gt;0.25,"&gt; 25%","ok"))</f>
        <v>N/A</v>
      </c>
      <c r="BX29" s="82"/>
      <c r="BY29" s="82" t="str">
        <f>IF(OR(ISBLANK(Z29),ISBLANK(AB29)),"N/A",IF(ABS((AB29-Z29)/Z29)&gt;0.25,"&gt; 25%","ok"))</f>
        <v>N/A</v>
      </c>
      <c r="BZ29" s="82"/>
      <c r="CA29" s="82" t="str">
        <f>IF(OR(ISBLANK(AB29),ISBLANK(AD29)),"N/A",IF(ABS((AD29-AB29)/AB29)&gt;0.25,"&gt; 25%","ok"))</f>
        <v>N/A</v>
      </c>
      <c r="CB29" s="82"/>
      <c r="CC29" s="82" t="str">
        <f>IF(OR(ISBLANK(AD29),ISBLANK(AF29)),"N/A",IF(ABS((AF29-AD29)/AD29)&gt;0.25,"&gt; 25%","ok"))</f>
        <v>N/A</v>
      </c>
      <c r="CD29" s="82"/>
      <c r="CE29" s="82" t="str">
        <f>IF(OR(ISBLANK(AF29),ISBLANK(AH29)),"N/A",IF(ABS((AH29-AF29)/AF29)&gt;0.25,"&gt; 25%","ok"))</f>
        <v>N/A</v>
      </c>
      <c r="CF29" s="82"/>
      <c r="CG29" s="82" t="str">
        <f>IF(OR(ISBLANK(AH29),ISBLANK(AJ29)),"N/A",IF(ABS((AJ29-AH29)/AH29)&gt;0.25,"&gt; 25%","ok"))</f>
        <v>N/A</v>
      </c>
      <c r="CH29" s="82"/>
      <c r="CI29" s="82" t="str">
        <f>IF(OR(ISBLANK(AJ29),ISBLANK(AL29)),"N/A",IF(ABS((AL29-AJ29)/AJ29)&gt;0.25,"&gt; 25%","ok"))</f>
        <v>N/A</v>
      </c>
      <c r="CJ29" s="82"/>
      <c r="CK29" s="82" t="str">
        <f>IF(OR(ISBLANK(AL29),ISBLANK(AN29)),"N/A",IF(ABS((AN29-AL29)/AL29)&gt;0.25,"&gt; 25%","ok"))</f>
        <v>N/A</v>
      </c>
      <c r="CL29" s="82"/>
      <c r="CM29" s="82" t="str">
        <f>IF(OR(ISBLANK(AN29),ISBLANK(AT29)),"N/A",IF(ABS((AT29-AN29)/AN29)&gt;0.25,"&gt; 25%","ok"))</f>
        <v>N/A</v>
      </c>
      <c r="CN29" s="82"/>
      <c r="CO29" s="82" t="str">
        <f>IF(OR(ISBLANK(AP29),ISBLANK(AR29)),"N/A",IF(ABS((AR29-AP29)/AP29)&gt;0.25,"&gt; 25%","ok"))</f>
        <v>N/A</v>
      </c>
      <c r="CP29" s="82"/>
      <c r="CQ29" s="82" t="str">
        <f>IF(OR(ISBLANK(AR29),ISBLANK(AT29)),"N/A",IF(ABS((AT29-AR29)/AR29)&gt;0.25,"&gt; 25%","ok"))</f>
        <v>N/A</v>
      </c>
      <c r="CR29" s="82"/>
      <c r="CS29" s="82" t="str">
        <f>IF(OR(ISBLANK(AT29),ISBLANK(AZ29)),"N/A",IF(ABS((AZ29-AT29)/AT29)&gt;0.25,"&gt; 25%","ok"))</f>
        <v>N/A</v>
      </c>
    </row>
    <row r="30" spans="1:97" s="390" customFormat="1" ht="15" customHeight="1">
      <c r="A30" s="221"/>
      <c r="B30" s="377">
        <v>283</v>
      </c>
      <c r="C30" s="400">
        <v>21</v>
      </c>
      <c r="D30" s="378" t="s">
        <v>451</v>
      </c>
      <c r="E30" s="265" t="s">
        <v>360</v>
      </c>
      <c r="F30" s="659"/>
      <c r="G30" s="624"/>
      <c r="H30" s="659"/>
      <c r="I30" s="624"/>
      <c r="J30" s="659"/>
      <c r="K30" s="624"/>
      <c r="L30" s="659"/>
      <c r="M30" s="624"/>
      <c r="N30" s="659"/>
      <c r="O30" s="624"/>
      <c r="P30" s="659"/>
      <c r="Q30" s="624"/>
      <c r="R30" s="659"/>
      <c r="S30" s="624"/>
      <c r="T30" s="659"/>
      <c r="U30" s="624"/>
      <c r="V30" s="659"/>
      <c r="W30" s="624"/>
      <c r="X30" s="659"/>
      <c r="Y30" s="624"/>
      <c r="Z30" s="659"/>
      <c r="AA30" s="624"/>
      <c r="AB30" s="659"/>
      <c r="AC30" s="624"/>
      <c r="AD30" s="659"/>
      <c r="AE30" s="624"/>
      <c r="AF30" s="659"/>
      <c r="AG30" s="624"/>
      <c r="AH30" s="659"/>
      <c r="AI30" s="624"/>
      <c r="AJ30" s="659"/>
      <c r="AK30" s="624"/>
      <c r="AL30" s="659"/>
      <c r="AM30" s="624"/>
      <c r="AN30" s="659"/>
      <c r="AO30" s="624"/>
      <c r="AP30" s="659"/>
      <c r="AQ30" s="624"/>
      <c r="AR30" s="659"/>
      <c r="AS30" s="624"/>
      <c r="AT30" s="659"/>
      <c r="AU30" s="624"/>
      <c r="AV30" s="659"/>
      <c r="AW30" s="624"/>
      <c r="AY30" s="224"/>
      <c r="AZ30" s="401">
        <v>21</v>
      </c>
      <c r="BA30" s="303" t="s">
        <v>451</v>
      </c>
      <c r="BB30" s="84" t="s">
        <v>93</v>
      </c>
      <c r="BC30" s="82" t="s">
        <v>97</v>
      </c>
      <c r="BD30" s="647"/>
      <c r="BE30" s="82" t="str">
        <f>IF(OR(ISBLANK(F30),ISBLANK(H30)),"N/A",IF(ABS((H30-F30)/F30)&gt;1,"&gt; 100%","ok"))</f>
        <v>N/A</v>
      </c>
      <c r="BF30" s="646"/>
      <c r="BG30" s="82" t="str">
        <f t="shared" si="21"/>
        <v>N/A</v>
      </c>
      <c r="BH30" s="82"/>
      <c r="BI30" s="82" t="str">
        <f t="shared" si="22"/>
        <v>N/A</v>
      </c>
      <c r="BJ30" s="82"/>
      <c r="BK30" s="82" t="str">
        <f t="shared" si="23"/>
        <v>N/A</v>
      </c>
      <c r="BL30" s="82"/>
      <c r="BM30" s="82" t="str">
        <f t="shared" si="24"/>
        <v>N/A</v>
      </c>
      <c r="BN30" s="82"/>
      <c r="BO30" s="82" t="str">
        <f>IF(OR(ISBLANK(P30),ISBLANK(R30)),"N/A",IF(ABS((R30-P30)/P30)&gt;0.25,"&gt; 25%","ok"))</f>
        <v>N/A</v>
      </c>
      <c r="BP30" s="82"/>
      <c r="BQ30" s="82" t="str">
        <f>IF(OR(ISBLANK(R30),ISBLANK(T30)),"N/A",IF(ABS((T30-R30)/R30)&gt;0.25,"&gt; 25%","ok"))</f>
        <v>N/A</v>
      </c>
      <c r="BR30" s="82"/>
      <c r="BS30" s="82" t="str">
        <f>IF(OR(ISBLANK(T30),ISBLANK(V30)),"N/A",IF(ABS((V30-T30)/T30)&gt;0.25,"&gt; 25%","ok"))</f>
        <v>N/A</v>
      </c>
      <c r="BT30" s="82"/>
      <c r="BU30" s="82" t="str">
        <f>IF(OR(ISBLANK(V30),ISBLANK(X30)),"N/A",IF(ABS((X30-V30)/V30)&gt;0.25,"&gt; 25%","ok"))</f>
        <v>N/A</v>
      </c>
      <c r="BV30" s="82"/>
      <c r="BW30" s="82" t="str">
        <f>IF(OR(ISBLANK(X30),ISBLANK(Z30)),"N/A",IF(ABS((Z30-X30)/X30)&gt;0.25,"&gt; 25%","ok"))</f>
        <v>N/A</v>
      </c>
      <c r="BX30" s="82"/>
      <c r="BY30" s="82" t="str">
        <f>IF(OR(ISBLANK(Z30),ISBLANK(AB30)),"N/A",IF(ABS((AB30-Z30)/Z30)&gt;0.25,"&gt; 25%","ok"))</f>
        <v>N/A</v>
      </c>
      <c r="BZ30" s="82"/>
      <c r="CA30" s="82" t="str">
        <f>IF(OR(ISBLANK(AB30),ISBLANK(AD30)),"N/A",IF(ABS((AD30-AB30)/AB30)&gt;0.25,"&gt; 25%","ok"))</f>
        <v>N/A</v>
      </c>
      <c r="CB30" s="82"/>
      <c r="CC30" s="82" t="str">
        <f>IF(OR(ISBLANK(AD30),ISBLANK(AF30)),"N/A",IF(ABS((AF30-AD30)/AD30)&gt;0.25,"&gt; 25%","ok"))</f>
        <v>N/A</v>
      </c>
      <c r="CD30" s="82"/>
      <c r="CE30" s="82" t="str">
        <f>IF(OR(ISBLANK(AF30),ISBLANK(AH30)),"N/A",IF(ABS((AH30-AF30)/AF30)&gt;0.25,"&gt; 25%","ok"))</f>
        <v>N/A</v>
      </c>
      <c r="CF30" s="82"/>
      <c r="CG30" s="82" t="str">
        <f>IF(OR(ISBLANK(AH30),ISBLANK(AJ30)),"N/A",IF(ABS((AJ30-AH30)/AH30)&gt;0.25,"&gt; 25%","ok"))</f>
        <v>N/A</v>
      </c>
      <c r="CH30" s="82"/>
      <c r="CI30" s="82" t="str">
        <f>IF(OR(ISBLANK(AJ30),ISBLANK(AL30)),"N/A",IF(ABS((AL30-AJ30)/AJ30)&gt;0.25,"&gt; 25%","ok"))</f>
        <v>N/A</v>
      </c>
      <c r="CJ30" s="82"/>
      <c r="CK30" s="82" t="str">
        <f>IF(OR(ISBLANK(AL30),ISBLANK(AN30)),"N/A",IF(ABS((AN30-AL30)/AL30)&gt;0.25,"&gt; 25%","ok"))</f>
        <v>N/A</v>
      </c>
      <c r="CL30" s="82"/>
      <c r="CM30" s="82" t="str">
        <f>IF(OR(ISBLANK(AN30),ISBLANK(AT30)),"N/A",IF(ABS((AT30-AN30)/AN30)&gt;0.25,"&gt; 25%","ok"))</f>
        <v>N/A</v>
      </c>
      <c r="CN30" s="82"/>
      <c r="CO30" s="82" t="str">
        <f>IF(OR(ISBLANK(AP30),ISBLANK(AR30)),"N/A",IF(ABS((AR30-AP30)/AP30)&gt;0.25,"&gt; 25%","ok"))</f>
        <v>N/A</v>
      </c>
      <c r="CP30" s="82"/>
      <c r="CQ30" s="82" t="str">
        <f>IF(OR(ISBLANK(AR30),ISBLANK(AT30)),"N/A",IF(ABS((AT30-AR30)/AR30)&gt;0.25,"&gt; 25%","ok"))</f>
        <v>N/A</v>
      </c>
      <c r="CR30" s="82"/>
      <c r="CS30" s="82" t="str">
        <f>IF(OR(ISBLANK(AT30),ISBLANK(AZ30)),"N/A",IF(ABS((AZ30-AT30)/AT30)&gt;0.25,"&gt; 25%","ok"))</f>
        <v>N/A</v>
      </c>
    </row>
    <row r="31" spans="1:97" s="390" customFormat="1" ht="15" customHeight="1">
      <c r="A31" s="221"/>
      <c r="B31" s="377">
        <v>284</v>
      </c>
      <c r="C31" s="402">
        <v>22</v>
      </c>
      <c r="D31" s="277" t="s">
        <v>452</v>
      </c>
      <c r="E31" s="403" t="s">
        <v>360</v>
      </c>
      <c r="F31" s="639"/>
      <c r="G31" s="626"/>
      <c r="H31" s="639"/>
      <c r="I31" s="626"/>
      <c r="J31" s="639"/>
      <c r="K31" s="626"/>
      <c r="L31" s="639"/>
      <c r="M31" s="626"/>
      <c r="N31" s="639"/>
      <c r="O31" s="626"/>
      <c r="P31" s="639"/>
      <c r="Q31" s="626"/>
      <c r="R31" s="639"/>
      <c r="S31" s="626"/>
      <c r="T31" s="639"/>
      <c r="U31" s="626"/>
      <c r="V31" s="639"/>
      <c r="W31" s="626"/>
      <c r="X31" s="639"/>
      <c r="Y31" s="626"/>
      <c r="Z31" s="639"/>
      <c r="AA31" s="626"/>
      <c r="AB31" s="639"/>
      <c r="AC31" s="626"/>
      <c r="AD31" s="639"/>
      <c r="AE31" s="626"/>
      <c r="AF31" s="639"/>
      <c r="AG31" s="626"/>
      <c r="AH31" s="639"/>
      <c r="AI31" s="626"/>
      <c r="AJ31" s="639"/>
      <c r="AK31" s="626"/>
      <c r="AL31" s="639"/>
      <c r="AM31" s="626"/>
      <c r="AN31" s="639"/>
      <c r="AO31" s="626"/>
      <c r="AP31" s="639"/>
      <c r="AQ31" s="626"/>
      <c r="AR31" s="639"/>
      <c r="AS31" s="626"/>
      <c r="AT31" s="639"/>
      <c r="AU31" s="626"/>
      <c r="AV31" s="639"/>
      <c r="AW31" s="626"/>
      <c r="AY31" s="224"/>
      <c r="AZ31" s="401">
        <v>22</v>
      </c>
      <c r="BA31" s="258" t="s">
        <v>452</v>
      </c>
      <c r="BB31" s="84" t="s">
        <v>93</v>
      </c>
      <c r="BC31" s="82" t="s">
        <v>97</v>
      </c>
      <c r="BD31" s="647"/>
      <c r="BE31" s="82" t="str">
        <f>IF(OR(ISBLANK(F31),ISBLANK(H31)),"N/A",IF(ABS((H31-F31)/F31)&gt;1,"&gt; 100%","ok"))</f>
        <v>N/A</v>
      </c>
      <c r="BF31" s="646"/>
      <c r="BG31" s="82" t="str">
        <f t="shared" si="21"/>
        <v>N/A</v>
      </c>
      <c r="BH31" s="82"/>
      <c r="BI31" s="82" t="str">
        <f t="shared" si="22"/>
        <v>N/A</v>
      </c>
      <c r="BJ31" s="82"/>
      <c r="BK31" s="82" t="str">
        <f t="shared" si="23"/>
        <v>N/A</v>
      </c>
      <c r="BL31" s="82"/>
      <c r="BM31" s="82" t="str">
        <f t="shared" si="24"/>
        <v>N/A</v>
      </c>
      <c r="BN31" s="82"/>
      <c r="BO31" s="82" t="str">
        <f>IF(OR(ISBLANK(P31),ISBLANK(R31)),"N/A",IF(ABS((R31-P31)/P31)&gt;0.25,"&gt; 25%","ok"))</f>
        <v>N/A</v>
      </c>
      <c r="BP31" s="82"/>
      <c r="BQ31" s="82" t="str">
        <f>IF(OR(ISBLANK(R31),ISBLANK(T31)),"N/A",IF(ABS((T31-R31)/R31)&gt;0.25,"&gt; 25%","ok"))</f>
        <v>N/A</v>
      </c>
      <c r="BR31" s="82"/>
      <c r="BS31" s="82" t="str">
        <f>IF(OR(ISBLANK(T31),ISBLANK(V31)),"N/A",IF(ABS((V31-T31)/T31)&gt;0.25,"&gt; 25%","ok"))</f>
        <v>N/A</v>
      </c>
      <c r="BT31" s="82"/>
      <c r="BU31" s="82" t="str">
        <f>IF(OR(ISBLANK(V31),ISBLANK(X31)),"N/A",IF(ABS((X31-V31)/V31)&gt;0.25,"&gt; 25%","ok"))</f>
        <v>N/A</v>
      </c>
      <c r="BV31" s="82"/>
      <c r="BW31" s="82" t="str">
        <f>IF(OR(ISBLANK(X31),ISBLANK(Z31)),"N/A",IF(ABS((Z31-X31)/X31)&gt;0.25,"&gt; 25%","ok"))</f>
        <v>N/A</v>
      </c>
      <c r="BX31" s="82"/>
      <c r="BY31" s="82" t="str">
        <f>IF(OR(ISBLANK(Z31),ISBLANK(AB31)),"N/A",IF(ABS((AB31-Z31)/Z31)&gt;0.25,"&gt; 25%","ok"))</f>
        <v>N/A</v>
      </c>
      <c r="BZ31" s="82"/>
      <c r="CA31" s="82" t="str">
        <f>IF(OR(ISBLANK(AB31),ISBLANK(AD31)),"N/A",IF(ABS((AD31-AB31)/AB31)&gt;0.25,"&gt; 25%","ok"))</f>
        <v>N/A</v>
      </c>
      <c r="CB31" s="82"/>
      <c r="CC31" s="82" t="str">
        <f>IF(OR(ISBLANK(AD31),ISBLANK(AF31)),"N/A",IF(ABS((AF31-AD31)/AD31)&gt;0.25,"&gt; 25%","ok"))</f>
        <v>N/A</v>
      </c>
      <c r="CD31" s="82"/>
      <c r="CE31" s="82" t="str">
        <f>IF(OR(ISBLANK(AF31),ISBLANK(AH31)),"N/A",IF(ABS((AH31-AF31)/AF31)&gt;0.25,"&gt; 25%","ok"))</f>
        <v>N/A</v>
      </c>
      <c r="CF31" s="82"/>
      <c r="CG31" s="82" t="str">
        <f>IF(OR(ISBLANK(AH31),ISBLANK(AJ31)),"N/A",IF(ABS((AJ31-AH31)/AH31)&gt;0.25,"&gt; 25%","ok"))</f>
        <v>N/A</v>
      </c>
      <c r="CH31" s="82"/>
      <c r="CI31" s="82" t="str">
        <f>IF(OR(ISBLANK(AJ31),ISBLANK(AL31)),"N/A",IF(ABS((AL31-AJ31)/AJ31)&gt;0.25,"&gt; 25%","ok"))</f>
        <v>N/A</v>
      </c>
      <c r="CJ31" s="82"/>
      <c r="CK31" s="82" t="str">
        <f>IF(OR(ISBLANK(AL31),ISBLANK(AN31)),"N/A",IF(ABS((AN31-AL31)/AL31)&gt;0.25,"&gt; 25%","ok"))</f>
        <v>N/A</v>
      </c>
      <c r="CL31" s="82"/>
      <c r="CM31" s="82" t="str">
        <f>IF(OR(ISBLANK(AN31),ISBLANK(AT31)),"N/A",IF(ABS((AT31-AN31)/AN31)&gt;0.25,"&gt; 25%","ok"))</f>
        <v>N/A</v>
      </c>
      <c r="CN31" s="82"/>
      <c r="CO31" s="82" t="str">
        <f>IF(OR(ISBLANK(AP31),ISBLANK(AR31)),"N/A",IF(ABS((AR31-AP31)/AP31)&gt;0.25,"&gt; 25%","ok"))</f>
        <v>N/A</v>
      </c>
      <c r="CP31" s="82"/>
      <c r="CQ31" s="82" t="str">
        <f>IF(OR(ISBLANK(AR31),ISBLANK(AT31)),"N/A",IF(ABS((AT31-AR31)/AR31)&gt;0.25,"&gt; 25%","ok"))</f>
        <v>N/A</v>
      </c>
      <c r="CR31" s="82"/>
      <c r="CS31" s="82" t="str">
        <f>IF(OR(ISBLANK(AT31),ISBLANK(AZ31)),"N/A",IF(ABS((AZ31-AT31)/AT31)&gt;0.25,"&gt; 25%","ok"))</f>
        <v>N/A</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55" t="s">
        <v>230</v>
      </c>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Z33" s="243" t="s">
        <v>347</v>
      </c>
      <c r="BA33" s="243" t="s">
        <v>349</v>
      </c>
      <c r="BB33" s="243" t="s">
        <v>352</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row>
    <row r="34" spans="3:97" ht="15" customHeight="1">
      <c r="C34" s="288" t="s">
        <v>167</v>
      </c>
      <c r="D34" s="755" t="s">
        <v>309</v>
      </c>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Z34" s="388"/>
      <c r="BA34" s="406" t="s">
        <v>24</v>
      </c>
      <c r="BB34" s="388"/>
      <c r="BC34" s="85"/>
      <c r="BD34" s="647"/>
      <c r="BE34" s="85"/>
      <c r="BF34" s="647"/>
      <c r="BG34" s="85"/>
      <c r="BH34" s="647"/>
      <c r="BI34" s="85"/>
      <c r="BJ34" s="647"/>
      <c r="BK34" s="85"/>
      <c r="BL34" s="647"/>
      <c r="BM34" s="85"/>
      <c r="BN34" s="647"/>
      <c r="BO34" s="85"/>
      <c r="BP34" s="647"/>
      <c r="BQ34" s="85"/>
      <c r="BR34" s="647"/>
      <c r="BS34" s="84"/>
      <c r="BT34" s="647"/>
      <c r="BU34" s="84"/>
      <c r="BV34" s="647"/>
      <c r="BW34" s="84"/>
      <c r="BX34" s="647"/>
      <c r="BY34" s="84"/>
      <c r="BZ34" s="647"/>
      <c r="CA34" s="84"/>
      <c r="CB34" s="647"/>
      <c r="CC34" s="84"/>
      <c r="CD34" s="647"/>
      <c r="CE34" s="85"/>
      <c r="CF34" s="647"/>
      <c r="CG34" s="84"/>
      <c r="CH34" s="647"/>
      <c r="CI34" s="84"/>
      <c r="CJ34" s="647"/>
      <c r="CK34" s="84"/>
      <c r="CL34" s="647"/>
      <c r="CM34" s="84"/>
      <c r="CN34" s="647"/>
      <c r="CO34" s="84"/>
      <c r="CP34" s="647"/>
      <c r="CQ34" s="84"/>
      <c r="CR34" s="647"/>
      <c r="CS34" s="84"/>
    </row>
    <row r="35" spans="1:111" s="202" customFormat="1" ht="24.75" customHeight="1">
      <c r="A35" s="290"/>
      <c r="B35" s="290"/>
      <c r="C35" s="288" t="s">
        <v>167</v>
      </c>
      <c r="D35" s="769" t="s">
        <v>168</v>
      </c>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0</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55" t="s">
        <v>129</v>
      </c>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59" t="s">
        <v>596</v>
      </c>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80" t="str">
        <f>LEFT(D10,LEN(D10)-7)&amp;" (W2,3)"</f>
        <v>Freshwater abstracted (W2,3)</v>
      </c>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578"/>
      <c r="AD38" s="304"/>
      <c r="AE38" s="579"/>
      <c r="AF38" s="579"/>
      <c r="AG38" s="579"/>
      <c r="AH38" s="579"/>
      <c r="AI38" s="579"/>
      <c r="AJ38" s="579"/>
      <c r="AK38" s="579"/>
      <c r="AL38" s="579"/>
      <c r="AM38" s="579"/>
      <c r="AN38" s="579"/>
      <c r="AO38" s="579"/>
      <c r="AP38" s="579"/>
      <c r="AQ38" s="815"/>
      <c r="AR38" s="815"/>
      <c r="AS38" s="815"/>
      <c r="AT38" s="815"/>
      <c r="AU38" s="815"/>
      <c r="AV38" s="815"/>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0</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80" t="str">
        <f>D26&amp;" (W2,17)"</f>
        <v>    Households  (W2,17)</v>
      </c>
      <c r="AR39" s="781"/>
      <c r="AS39" s="781"/>
      <c r="AT39" s="781"/>
      <c r="AU39" s="781"/>
      <c r="AV39" s="781"/>
      <c r="AW39" s="782"/>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v>
      </c>
      <c r="BN39" s="85"/>
      <c r="BO39" s="85">
        <f>R10+R18+R19+R20-R21</f>
        <v>0</v>
      </c>
      <c r="BP39" s="85"/>
      <c r="BQ39" s="85">
        <f>T10+T18+T19+T20-T21</f>
        <v>0</v>
      </c>
      <c r="BR39" s="85"/>
      <c r="BS39" s="85">
        <f>V10+V18+V19+V20-V21</f>
        <v>0</v>
      </c>
      <c r="BT39" s="85"/>
      <c r="BU39" s="85">
        <f>X10+X18+X19+X20-X21</f>
        <v>0</v>
      </c>
      <c r="BV39" s="85"/>
      <c r="BW39" s="85">
        <f>Z10+Z18+Z19+Z20-Z21</f>
        <v>0</v>
      </c>
      <c r="BX39" s="85"/>
      <c r="BY39" s="85">
        <f>AB10+AB18+AB19+AB20-AB21</f>
        <v>0</v>
      </c>
      <c r="BZ39" s="85"/>
      <c r="CA39" s="85">
        <f>AD10+AD18+AD19+AD20-AD21</f>
        <v>0</v>
      </c>
      <c r="CB39" s="85"/>
      <c r="CC39" s="85">
        <f>AF10+AF18+AF19+AF20-AF21</f>
        <v>0</v>
      </c>
      <c r="CD39" s="85"/>
      <c r="CE39" s="85">
        <f>AH10+AH18+AH19+AH20-AH21</f>
        <v>0</v>
      </c>
      <c r="CF39" s="85"/>
      <c r="CG39" s="85">
        <f>AJ10+AJ18+AJ19+AJ20-AJ21</f>
        <v>0</v>
      </c>
      <c r="CH39" s="85"/>
      <c r="CI39" s="85">
        <f>AL10+AL18+AL19+AL20-AL21</f>
        <v>0</v>
      </c>
      <c r="CJ39" s="85"/>
      <c r="CK39" s="85">
        <f>AN10+AN18+AN19+AN20-AN21</f>
        <v>0</v>
      </c>
      <c r="CL39" s="85"/>
      <c r="CM39" s="85">
        <f>AP10+AP18+AP19+AP20-AP21</f>
        <v>0</v>
      </c>
      <c r="CN39" s="85"/>
      <c r="CO39" s="85">
        <f>AR10+AR18+AR19+AR20-AR21</f>
        <v>0</v>
      </c>
      <c r="CP39" s="85"/>
      <c r="CQ39" s="85">
        <f>AT10+AT18+AT19+AT20-AT21</f>
        <v>0</v>
      </c>
      <c r="CR39" s="85"/>
      <c r="CS39" s="85">
        <f>AV10+AV18+AV19+AV20-AV21</f>
        <v>0</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88" t="str">
        <f>D18&amp;" (W2,10)"</f>
        <v>Desalinated water (W2,10)</v>
      </c>
      <c r="AA40" s="797"/>
      <c r="AB40" s="798"/>
      <c r="AC40" s="579"/>
      <c r="AD40" s="579"/>
      <c r="AE40" s="788" t="str">
        <f>LEFT(D22,LEN(D22)-16)&amp;" (W2,14)"</f>
        <v>Total freshwater available for use  (W2,14)</v>
      </c>
      <c r="AF40" s="797"/>
      <c r="AG40" s="797"/>
      <c r="AH40" s="798"/>
      <c r="AI40" s="579"/>
      <c r="AJ40" s="579"/>
      <c r="AK40" s="788" t="str">
        <f>LEFT(D24,LEN(D24)-8)&amp;" (W2,16)"</f>
        <v>Total freshwater use  (W2,16)</v>
      </c>
      <c r="AL40" s="797"/>
      <c r="AM40" s="798"/>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99"/>
      <c r="AA41" s="800"/>
      <c r="AB41" s="801"/>
      <c r="AC41" s="579"/>
      <c r="AD41" s="579"/>
      <c r="AE41" s="799"/>
      <c r="AF41" s="800"/>
      <c r="AG41" s="800"/>
      <c r="AH41" s="801"/>
      <c r="AI41" s="579"/>
      <c r="AJ41" s="579"/>
      <c r="AK41" s="799"/>
      <c r="AL41" s="800"/>
      <c r="AM41" s="801"/>
      <c r="AN41" s="579"/>
      <c r="AO41" s="579"/>
      <c r="AP41" s="579"/>
      <c r="AQ41" s="788" t="str">
        <f>D27&amp;" (W2,18)"</f>
        <v>    Agriculture, forestry and fishing (ISIC 01-03) (W2,18)</v>
      </c>
      <c r="AR41" s="797"/>
      <c r="AS41" s="797"/>
      <c r="AT41" s="797"/>
      <c r="AU41" s="797"/>
      <c r="AV41" s="797"/>
      <c r="AW41" s="798"/>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0</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802"/>
      <c r="AA42" s="803"/>
      <c r="AB42" s="804"/>
      <c r="AC42" s="583"/>
      <c r="AD42" s="579"/>
      <c r="AE42" s="799"/>
      <c r="AF42" s="800"/>
      <c r="AG42" s="800"/>
      <c r="AH42" s="801"/>
      <c r="AI42" s="579"/>
      <c r="AJ42" s="579"/>
      <c r="AK42" s="799"/>
      <c r="AL42" s="800"/>
      <c r="AM42" s="801"/>
      <c r="AN42" s="805" t="s">
        <v>583</v>
      </c>
      <c r="AO42" s="806"/>
      <c r="AP42" s="579"/>
      <c r="AQ42" s="802"/>
      <c r="AR42" s="803"/>
      <c r="AS42" s="803"/>
      <c r="AT42" s="803"/>
      <c r="AU42" s="803"/>
      <c r="AV42" s="803"/>
      <c r="AW42" s="804"/>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0</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99"/>
      <c r="AF43" s="800"/>
      <c r="AG43" s="800"/>
      <c r="AH43" s="801"/>
      <c r="AI43" s="579"/>
      <c r="AJ43" s="588"/>
      <c r="AK43" s="799"/>
      <c r="AL43" s="800"/>
      <c r="AM43" s="801"/>
      <c r="AN43" s="799"/>
      <c r="AO43" s="806"/>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80" t="str">
        <f>D19&amp;" (W2,11)"</f>
        <v>Reused water (W2,11)</v>
      </c>
      <c r="AA44" s="781"/>
      <c r="AB44" s="807"/>
      <c r="AC44" s="583"/>
      <c r="AD44" s="579"/>
      <c r="AE44" s="799"/>
      <c r="AF44" s="800"/>
      <c r="AG44" s="800"/>
      <c r="AH44" s="801"/>
      <c r="AI44" s="579"/>
      <c r="AJ44" s="588"/>
      <c r="AK44" s="799"/>
      <c r="AL44" s="800"/>
      <c r="AM44" s="801"/>
      <c r="AN44" s="589"/>
      <c r="AO44" s="590"/>
      <c r="AP44" s="579"/>
      <c r="AQ44" s="780" t="str">
        <f>D29&amp;" (W2,20)"</f>
        <v>    Manufacturing (ISIC 10-33) (W2,20)</v>
      </c>
      <c r="AR44" s="781"/>
      <c r="AS44" s="781"/>
      <c r="AT44" s="781"/>
      <c r="AU44" s="781"/>
      <c r="AV44" s="781"/>
      <c r="AW44" s="782"/>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0</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802"/>
      <c r="AF45" s="803"/>
      <c r="AG45" s="803"/>
      <c r="AH45" s="804"/>
      <c r="AI45" s="579"/>
      <c r="AJ45" s="579"/>
      <c r="AK45" s="802"/>
      <c r="AL45" s="803"/>
      <c r="AM45" s="804"/>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0</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88" t="str">
        <f>D20&amp;"-"&amp;D21&amp;"  =(W2,12)-(W2,13)"</f>
        <v>Imports of water-Exports of water  =(W2,12)-(W2,13)</v>
      </c>
      <c r="AA46" s="789"/>
      <c r="AB46" s="790"/>
      <c r="AC46" s="583"/>
      <c r="AD46" s="582"/>
      <c r="AE46" s="582"/>
      <c r="AF46" s="582"/>
      <c r="AG46" s="579"/>
      <c r="AH46" s="579"/>
      <c r="AI46" s="579"/>
      <c r="AJ46" s="579"/>
      <c r="AK46" s="579"/>
      <c r="AL46" s="579"/>
      <c r="AM46" s="579"/>
      <c r="AN46" s="579"/>
      <c r="AO46" s="579"/>
      <c r="AP46" s="579"/>
      <c r="AQ46" s="780" t="str">
        <f>D30&amp;" (W2,21)"</f>
        <v>    Electricity industry (ISIC 351) (W2,21)</v>
      </c>
      <c r="AR46" s="781"/>
      <c r="AS46" s="781"/>
      <c r="AT46" s="781"/>
      <c r="AU46" s="781"/>
      <c r="AV46" s="781"/>
      <c r="AW46" s="782"/>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N/A</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791"/>
      <c r="AA47" s="792"/>
      <c r="AB47" s="793"/>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791"/>
      <c r="AA48" s="792"/>
      <c r="AB48" s="793"/>
      <c r="AC48" s="583"/>
      <c r="AD48" s="579"/>
      <c r="AE48" s="579"/>
      <c r="AF48" s="579"/>
      <c r="AG48" s="579"/>
      <c r="AH48" s="788" t="str">
        <f>D23&amp;" (W2,15)"</f>
        <v>Losses during transport (W2,15)</v>
      </c>
      <c r="AI48" s="818"/>
      <c r="AJ48" s="818"/>
      <c r="AK48" s="818"/>
      <c r="AL48" s="819"/>
      <c r="AM48" s="579"/>
      <c r="AN48" s="579"/>
      <c r="AO48" s="579"/>
      <c r="AP48" s="579"/>
      <c r="AQ48" s="780" t="str">
        <f>D31&amp;" (W2,22)"</f>
        <v>    Other economic activities (W2,22)</v>
      </c>
      <c r="AR48" s="781"/>
      <c r="AS48" s="781"/>
      <c r="AT48" s="781"/>
      <c r="AU48" s="781"/>
      <c r="AV48" s="781"/>
      <c r="AW48" s="782"/>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794"/>
      <c r="AA49" s="795"/>
      <c r="AB49" s="796"/>
      <c r="AC49" s="579"/>
      <c r="AD49" s="579"/>
      <c r="AE49" s="579"/>
      <c r="AF49" s="579"/>
      <c r="AG49" s="579"/>
      <c r="AH49" s="820"/>
      <c r="AI49" s="821"/>
      <c r="AJ49" s="821"/>
      <c r="AK49" s="821"/>
      <c r="AL49" s="822"/>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3:98" ht="36" customHeight="1">
      <c r="C54" s="616"/>
      <c r="D54" s="770" t="s">
        <v>611</v>
      </c>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7"/>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3:98" ht="18" customHeight="1">
      <c r="C55" s="569"/>
      <c r="D55" s="743"/>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7"/>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43"/>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43"/>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7"/>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43"/>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7"/>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43"/>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6"/>
      <c r="AT59" s="786"/>
      <c r="AU59" s="786"/>
      <c r="AV59" s="786"/>
      <c r="AW59" s="786"/>
      <c r="AX59" s="787"/>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43"/>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786"/>
      <c r="AQ60" s="786"/>
      <c r="AR60" s="786"/>
      <c r="AS60" s="786"/>
      <c r="AT60" s="786"/>
      <c r="AU60" s="786"/>
      <c r="AV60" s="786"/>
      <c r="AW60" s="786"/>
      <c r="AX60" s="787"/>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43"/>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786"/>
      <c r="AW61" s="786"/>
      <c r="AX61" s="787"/>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43"/>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786"/>
      <c r="AW62" s="786"/>
      <c r="AX62" s="787"/>
      <c r="CT62" s="320"/>
    </row>
    <row r="63" spans="3:98" ht="18" customHeight="1">
      <c r="C63" s="569"/>
      <c r="D63" s="743"/>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43"/>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7"/>
      <c r="CT65" s="320"/>
    </row>
    <row r="66" spans="3:98" ht="18" customHeight="1">
      <c r="C66" s="569"/>
      <c r="D66" s="743"/>
      <c r="E66" s="786"/>
      <c r="F66" s="786"/>
      <c r="G66" s="786"/>
      <c r="H66" s="786"/>
      <c r="I66" s="786"/>
      <c r="J66" s="786"/>
      <c r="K66" s="786"/>
      <c r="L66" s="786"/>
      <c r="M66" s="786"/>
      <c r="N66" s="786"/>
      <c r="O66" s="786"/>
      <c r="P66" s="786"/>
      <c r="Q66" s="786"/>
      <c r="R66" s="786"/>
      <c r="S66" s="786"/>
      <c r="T66" s="786"/>
      <c r="U66" s="786"/>
      <c r="V66" s="786"/>
      <c r="W66" s="786"/>
      <c r="X66" s="786"/>
      <c r="Y66" s="786"/>
      <c r="Z66" s="786"/>
      <c r="AA66" s="786"/>
      <c r="AB66" s="786"/>
      <c r="AC66" s="786"/>
      <c r="AD66" s="786"/>
      <c r="AE66" s="786"/>
      <c r="AF66" s="786"/>
      <c r="AG66" s="786"/>
      <c r="AH66" s="786"/>
      <c r="AI66" s="786"/>
      <c r="AJ66" s="786"/>
      <c r="AK66" s="786"/>
      <c r="AL66" s="786"/>
      <c r="AM66" s="786"/>
      <c r="AN66" s="786"/>
      <c r="AO66" s="786"/>
      <c r="AP66" s="786"/>
      <c r="AQ66" s="786"/>
      <c r="AR66" s="786"/>
      <c r="AS66" s="786"/>
      <c r="AT66" s="786"/>
      <c r="AU66" s="786"/>
      <c r="AV66" s="786"/>
      <c r="AW66" s="786"/>
      <c r="AX66" s="787"/>
      <c r="CT66" s="320"/>
    </row>
    <row r="67" spans="2:98" ht="18" customHeight="1">
      <c r="B67" s="431"/>
      <c r="C67" s="617"/>
      <c r="D67" s="743"/>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6"/>
      <c r="AF67" s="786"/>
      <c r="AG67" s="786"/>
      <c r="AH67" s="786"/>
      <c r="AI67" s="786"/>
      <c r="AJ67" s="786"/>
      <c r="AK67" s="786"/>
      <c r="AL67" s="786"/>
      <c r="AM67" s="786"/>
      <c r="AN67" s="786"/>
      <c r="AO67" s="786"/>
      <c r="AP67" s="786"/>
      <c r="AQ67" s="786"/>
      <c r="AR67" s="786"/>
      <c r="AS67" s="786"/>
      <c r="AT67" s="786"/>
      <c r="AU67" s="786"/>
      <c r="AV67" s="786"/>
      <c r="AW67" s="786"/>
      <c r="AX67" s="787"/>
      <c r="CT67" s="320"/>
    </row>
    <row r="68" spans="3:98" ht="18" customHeight="1">
      <c r="C68" s="569"/>
      <c r="D68" s="743"/>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c r="AI68" s="786"/>
      <c r="AJ68" s="786"/>
      <c r="AK68" s="786"/>
      <c r="AL68" s="786"/>
      <c r="AM68" s="786"/>
      <c r="AN68" s="786"/>
      <c r="AO68" s="786"/>
      <c r="AP68" s="786"/>
      <c r="AQ68" s="786"/>
      <c r="AR68" s="786"/>
      <c r="AS68" s="786"/>
      <c r="AT68" s="786"/>
      <c r="AU68" s="786"/>
      <c r="AV68" s="786"/>
      <c r="AW68" s="786"/>
      <c r="AX68" s="787"/>
      <c r="CT68" s="320"/>
    </row>
    <row r="69" spans="3:98" ht="18" customHeight="1">
      <c r="C69" s="569"/>
      <c r="D69" s="743"/>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786"/>
      <c r="AD69" s="786"/>
      <c r="AE69" s="786"/>
      <c r="AF69" s="786"/>
      <c r="AG69" s="786"/>
      <c r="AH69" s="786"/>
      <c r="AI69" s="786"/>
      <c r="AJ69" s="786"/>
      <c r="AK69" s="786"/>
      <c r="AL69" s="786"/>
      <c r="AM69" s="786"/>
      <c r="AN69" s="786"/>
      <c r="AO69" s="786"/>
      <c r="AP69" s="786"/>
      <c r="AQ69" s="786"/>
      <c r="AR69" s="786"/>
      <c r="AS69" s="786"/>
      <c r="AT69" s="786"/>
      <c r="AU69" s="786"/>
      <c r="AV69" s="786"/>
      <c r="AW69" s="786"/>
      <c r="AX69" s="787"/>
      <c r="CT69" s="320"/>
    </row>
    <row r="70" spans="3:98" ht="18" customHeight="1">
      <c r="C70" s="569"/>
      <c r="D70" s="743"/>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c r="CT70" s="320"/>
    </row>
    <row r="71" spans="3:50" ht="18" customHeight="1">
      <c r="C71" s="569"/>
      <c r="D71" s="743"/>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6"/>
      <c r="AG71" s="786"/>
      <c r="AH71" s="786"/>
      <c r="AI71" s="786"/>
      <c r="AJ71" s="786"/>
      <c r="AK71" s="786"/>
      <c r="AL71" s="786"/>
      <c r="AM71" s="786"/>
      <c r="AN71" s="786"/>
      <c r="AO71" s="786"/>
      <c r="AP71" s="786"/>
      <c r="AQ71" s="786"/>
      <c r="AR71" s="786"/>
      <c r="AS71" s="786"/>
      <c r="AT71" s="786"/>
      <c r="AU71" s="786"/>
      <c r="AV71" s="786"/>
      <c r="AW71" s="786"/>
      <c r="AX71" s="787"/>
    </row>
    <row r="72" spans="3:50" ht="18" customHeight="1">
      <c r="C72" s="569"/>
      <c r="D72" s="743"/>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786"/>
      <c r="AM72" s="786"/>
      <c r="AN72" s="786"/>
      <c r="AO72" s="786"/>
      <c r="AP72" s="786"/>
      <c r="AQ72" s="786"/>
      <c r="AR72" s="786"/>
      <c r="AS72" s="786"/>
      <c r="AT72" s="786"/>
      <c r="AU72" s="786"/>
      <c r="AV72" s="786"/>
      <c r="AW72" s="786"/>
      <c r="AX72" s="787"/>
    </row>
    <row r="73" spans="2:50" ht="18" customHeight="1">
      <c r="B73" s="575"/>
      <c r="C73" s="617"/>
      <c r="D73" s="743"/>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6"/>
      <c r="AQ73" s="786"/>
      <c r="AR73" s="786"/>
      <c r="AS73" s="786"/>
      <c r="AT73" s="786"/>
      <c r="AU73" s="786"/>
      <c r="AV73" s="786"/>
      <c r="AW73" s="786"/>
      <c r="AX73" s="787"/>
    </row>
    <row r="74" spans="3:50" ht="18" customHeight="1">
      <c r="C74" s="569"/>
      <c r="D74" s="783"/>
      <c r="E74" s="784"/>
      <c r="F74" s="784"/>
      <c r="G74" s="784"/>
      <c r="H74" s="784"/>
      <c r="I74" s="784"/>
      <c r="J74" s="784"/>
      <c r="K74" s="784"/>
      <c r="L74" s="784"/>
      <c r="M74" s="784"/>
      <c r="N74" s="784"/>
      <c r="O74" s="784"/>
      <c r="P74" s="784"/>
      <c r="Q74" s="784"/>
      <c r="R74" s="784"/>
      <c r="S74" s="784"/>
      <c r="T74" s="784"/>
      <c r="U74" s="784"/>
      <c r="V74" s="784"/>
      <c r="W74" s="784"/>
      <c r="X74" s="784"/>
      <c r="Y74" s="784"/>
      <c r="Z74" s="784"/>
      <c r="AA74" s="784"/>
      <c r="AB74" s="784"/>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5"/>
    </row>
    <row r="75" spans="1:97" s="320" customFormat="1" ht="18" customHeight="1">
      <c r="A75" s="221"/>
      <c r="B75" s="190"/>
      <c r="C75" s="618"/>
      <c r="D75" s="74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9"/>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sheet="1" formatCells="0" formatColumns="0" formatRows="0" insertColumns="0" insertRows="0" insertHyperlinks="0"/>
  <mergeCells count="41">
    <mergeCell ref="AE40:AH45"/>
    <mergeCell ref="AQ46:AW46"/>
    <mergeCell ref="AQ41:AW42"/>
    <mergeCell ref="AH48:AL49"/>
    <mergeCell ref="AQ48:AW48"/>
    <mergeCell ref="Z40:AB42"/>
    <mergeCell ref="D57:AX57"/>
    <mergeCell ref="D54:AX54"/>
    <mergeCell ref="D60:AX60"/>
    <mergeCell ref="D62:AX62"/>
    <mergeCell ref="D68:AX68"/>
    <mergeCell ref="D58:AX58"/>
    <mergeCell ref="D61:AX61"/>
    <mergeCell ref="D55:AX55"/>
    <mergeCell ref="C5:AM5"/>
    <mergeCell ref="D36:AX36"/>
    <mergeCell ref="D37:AX37"/>
    <mergeCell ref="D33:AX33"/>
    <mergeCell ref="D34:AX34"/>
    <mergeCell ref="E38:AB38"/>
    <mergeCell ref="AQ38:AV38"/>
    <mergeCell ref="D35:AX35"/>
    <mergeCell ref="D75:AX75"/>
    <mergeCell ref="D63:AX63"/>
    <mergeCell ref="D65:AX65"/>
    <mergeCell ref="D66:AX66"/>
    <mergeCell ref="D67:AX67"/>
    <mergeCell ref="D69:AX69"/>
    <mergeCell ref="D71:AX71"/>
    <mergeCell ref="D73:AX73"/>
    <mergeCell ref="D70:AX70"/>
    <mergeCell ref="AQ39:AW39"/>
    <mergeCell ref="D74:AX74"/>
    <mergeCell ref="D72:AX72"/>
    <mergeCell ref="Z46:AB49"/>
    <mergeCell ref="D59:AX59"/>
    <mergeCell ref="AK40:AM45"/>
    <mergeCell ref="AN42:AO43"/>
    <mergeCell ref="Z44:AB44"/>
    <mergeCell ref="AQ44:AW44"/>
    <mergeCell ref="D56:AX56"/>
  </mergeCells>
  <conditionalFormatting sqref="AX24:AZ24">
    <cfRule type="cellIs" priority="351" dxfId="286" operator="lessThan" stopIfTrue="1">
      <formula>AX22-AX23-(0.01*(AX22-AX23))</formula>
    </cfRule>
  </conditionalFormatting>
  <conditionalFormatting sqref="F24">
    <cfRule type="cellIs" priority="64" dxfId="286" operator="lessThan" stopIfTrue="1">
      <formula>0.99*(F22-F23)</formula>
    </cfRule>
  </conditionalFormatting>
  <conditionalFormatting sqref="F10">
    <cfRule type="cellIs" priority="65" dxfId="286" operator="lessThan" stopIfTrue="1">
      <formula>F8+F9-(0.01*(F8+F9))</formula>
    </cfRule>
  </conditionalFormatting>
  <conditionalFormatting sqref="F22">
    <cfRule type="cellIs" priority="66" dxfId="286" operator="lessThan" stopIfTrue="1">
      <formula>F10+F18+F19+F20-F21-(0.01*(F10+F18+F19+F20-F21))</formula>
    </cfRule>
  </conditionalFormatting>
  <conditionalFormatting sqref="H24">
    <cfRule type="cellIs" priority="61" dxfId="286" operator="lessThan" stopIfTrue="1">
      <formula>0.99*(H22-H23)</formula>
    </cfRule>
  </conditionalFormatting>
  <conditionalFormatting sqref="H10">
    <cfRule type="cellIs" priority="62" dxfId="286" operator="lessThan" stopIfTrue="1">
      <formula>H8+H9-(0.01*(H8+H9))</formula>
    </cfRule>
  </conditionalFormatting>
  <conditionalFormatting sqref="H22">
    <cfRule type="cellIs" priority="63" dxfId="286" operator="lessThan" stopIfTrue="1">
      <formula>H10+H18+H19+H20-H21-(0.01*(H10+H18+H19+H20-H21))</formula>
    </cfRule>
  </conditionalFormatting>
  <conditionalFormatting sqref="J24">
    <cfRule type="cellIs" priority="58" dxfId="286" operator="lessThan" stopIfTrue="1">
      <formula>0.99*(J22-J23)</formula>
    </cfRule>
  </conditionalFormatting>
  <conditionalFormatting sqref="J10">
    <cfRule type="cellIs" priority="59" dxfId="286" operator="lessThan" stopIfTrue="1">
      <formula>J8+J9-(0.01*(J8+J9))</formula>
    </cfRule>
  </conditionalFormatting>
  <conditionalFormatting sqref="J22">
    <cfRule type="cellIs" priority="60" dxfId="286" operator="lessThan" stopIfTrue="1">
      <formula>J10+J18+J19+J20-J21-(0.01*(J10+J18+J19+J20-J21))</formula>
    </cfRule>
  </conditionalFormatting>
  <conditionalFormatting sqref="L24">
    <cfRule type="cellIs" priority="55" dxfId="286" operator="lessThan" stopIfTrue="1">
      <formula>0.99*(L22-L23)</formula>
    </cfRule>
  </conditionalFormatting>
  <conditionalFormatting sqref="L10">
    <cfRule type="cellIs" priority="56" dxfId="286" operator="lessThan" stopIfTrue="1">
      <formula>L8+L9-(0.01*(L8+L9))</formula>
    </cfRule>
  </conditionalFormatting>
  <conditionalFormatting sqref="L22">
    <cfRule type="cellIs" priority="57" dxfId="286" operator="lessThan" stopIfTrue="1">
      <formula>L10+L18+L19+L20-L21-(0.01*(L10+L18+L19+L20-L21))</formula>
    </cfRule>
  </conditionalFormatting>
  <conditionalFormatting sqref="P24">
    <cfRule type="cellIs" priority="52" dxfId="286" operator="lessThan" stopIfTrue="1">
      <formula>0.99*(P22-P23)</formula>
    </cfRule>
  </conditionalFormatting>
  <conditionalFormatting sqref="P10">
    <cfRule type="cellIs" priority="53" dxfId="286" operator="lessThan" stopIfTrue="1">
      <formula>P8+P9-(0.01*(P8+P9))</formula>
    </cfRule>
  </conditionalFormatting>
  <conditionalFormatting sqref="P22">
    <cfRule type="cellIs" priority="54" dxfId="286" operator="lessThan" stopIfTrue="1">
      <formula>P10+P18+P19+P20-P21-(0.01*(P10+P18+P19+P20-P21))</formula>
    </cfRule>
  </conditionalFormatting>
  <conditionalFormatting sqref="R24">
    <cfRule type="cellIs" priority="49" dxfId="286" operator="lessThan" stopIfTrue="1">
      <formula>0.99*(R22-R23)</formula>
    </cfRule>
  </conditionalFormatting>
  <conditionalFormatting sqref="R10">
    <cfRule type="cellIs" priority="50" dxfId="286" operator="lessThan" stopIfTrue="1">
      <formula>R8+R9-(0.01*(R8+R9))</formula>
    </cfRule>
  </conditionalFormatting>
  <conditionalFormatting sqref="R22">
    <cfRule type="cellIs" priority="51" dxfId="286" operator="lessThan" stopIfTrue="1">
      <formula>R10+R18+R19+R20-R21-(0.01*(R10+R18+R19+R20-R21))</formula>
    </cfRule>
  </conditionalFormatting>
  <conditionalFormatting sqref="T24">
    <cfRule type="cellIs" priority="46" dxfId="286" operator="lessThan" stopIfTrue="1">
      <formula>0.99*(T22-T23)</formula>
    </cfRule>
  </conditionalFormatting>
  <conditionalFormatting sqref="T10">
    <cfRule type="cellIs" priority="47" dxfId="286" operator="lessThan" stopIfTrue="1">
      <formula>T8+T9-(0.01*(T8+T9))</formula>
    </cfRule>
  </conditionalFormatting>
  <conditionalFormatting sqref="T22">
    <cfRule type="cellIs" priority="48" dxfId="286" operator="lessThan" stopIfTrue="1">
      <formula>T10+T18+T19+T20-T21-(0.01*(T10+T18+T19+T20-T21))</formula>
    </cfRule>
  </conditionalFormatting>
  <conditionalFormatting sqref="V24">
    <cfRule type="cellIs" priority="43" dxfId="286" operator="lessThan" stopIfTrue="1">
      <formula>0.99*(V22-V23)</formula>
    </cfRule>
  </conditionalFormatting>
  <conditionalFormatting sqref="V10">
    <cfRule type="cellIs" priority="44" dxfId="286" operator="lessThan" stopIfTrue="1">
      <formula>V8+V9-(0.01*(V8+V9))</formula>
    </cfRule>
  </conditionalFormatting>
  <conditionalFormatting sqref="V22">
    <cfRule type="cellIs" priority="45" dxfId="286" operator="lessThan" stopIfTrue="1">
      <formula>V10+V18+V19+V20-V21-(0.01*(V10+V18+V19+V20-V21))</formula>
    </cfRule>
  </conditionalFormatting>
  <conditionalFormatting sqref="X24">
    <cfRule type="cellIs" priority="40" dxfId="286" operator="lessThan" stopIfTrue="1">
      <formula>0.99*(X22-X23)</formula>
    </cfRule>
  </conditionalFormatting>
  <conditionalFormatting sqref="X10">
    <cfRule type="cellIs" priority="41" dxfId="286" operator="lessThan" stopIfTrue="1">
      <formula>X8+X9-(0.01*(X8+X9))</formula>
    </cfRule>
  </conditionalFormatting>
  <conditionalFormatting sqref="X22">
    <cfRule type="cellIs" priority="42" dxfId="286" operator="lessThan" stopIfTrue="1">
      <formula>X10+X18+X19+X20-X21-(0.01*(X10+X18+X19+X20-X21))</formula>
    </cfRule>
  </conditionalFormatting>
  <conditionalFormatting sqref="BC23 BC16 BC9">
    <cfRule type="cellIs" priority="67" dxfId="286" operator="lessThan" stopIfTrue="1">
      <formula>#REF!+#REF!</formula>
    </cfRule>
    <cfRule type="cellIs" priority="68" dxfId="286" operator="lessThan" stopIfTrue="1">
      <formula>#REF!+BC12+BC13+BC14+BC15+#REF!</formula>
    </cfRule>
  </conditionalFormatting>
  <conditionalFormatting sqref="BC10 BC17 BC24">
    <cfRule type="cellIs" priority="69" dxfId="286" operator="lessThan" stopIfTrue="1">
      <formula>#REF!+#REF!</formula>
    </cfRule>
    <cfRule type="cellIs" priority="70" dxfId="286" operator="lessThan" stopIfTrue="1">
      <formula>BC12+BC13+BC14+BC15+#REF!+#REF!</formula>
    </cfRule>
  </conditionalFormatting>
  <conditionalFormatting sqref="BC11 BC18 BC25">
    <cfRule type="cellIs" priority="71" dxfId="286" operator="lessThan" stopIfTrue="1">
      <formula>#REF!+#REF!</formula>
    </cfRule>
    <cfRule type="cellIs" priority="72" dxfId="286" operator="lessThan" stopIfTrue="1">
      <formula>BC13+BC14+BC15+#REF!+#REF!+#REF!</formula>
    </cfRule>
  </conditionalFormatting>
  <conditionalFormatting sqref="BC8">
    <cfRule type="cellIs" priority="73" dxfId="286" operator="lessThan" stopIfTrue="1">
      <formula>#REF!+#REF!</formula>
    </cfRule>
    <cfRule type="cellIs" priority="74" dxfId="286" operator="lessThan" stopIfTrue="1">
      <formula>BC10+BC11+BC12+BC13+BC14+BC15</formula>
    </cfRule>
  </conditionalFormatting>
  <conditionalFormatting sqref="BC14">
    <cfRule type="cellIs" priority="75" dxfId="286" operator="lessThan" stopIfTrue="1">
      <formula>BC30+#REF!</formula>
    </cfRule>
    <cfRule type="cellIs" priority="76" dxfId="286" operator="lessThan" stopIfTrue="1">
      <formula>#REF!+#REF!+#REF!+#REF!+#REF!+BC27</formula>
    </cfRule>
  </conditionalFormatting>
  <conditionalFormatting sqref="BC15">
    <cfRule type="cellIs" priority="77" dxfId="286" operator="lessThan" stopIfTrue="1">
      <formula>BC31+#REF!</formula>
    </cfRule>
    <cfRule type="cellIs" priority="78" dxfId="286" operator="lessThan" stopIfTrue="1">
      <formula>#REF!+#REF!+#REF!+#REF!+BC27+BC29</formula>
    </cfRule>
  </conditionalFormatting>
  <conditionalFormatting sqref="BC13">
    <cfRule type="cellIs" priority="79" dxfId="286" operator="lessThan" stopIfTrue="1">
      <formula>BC29+#REF!</formula>
    </cfRule>
    <cfRule type="cellIs" priority="80" dxfId="286" operator="lessThan" stopIfTrue="1">
      <formula>BC15+#REF!+#REF!+#REF!+#REF!+#REF!</formula>
    </cfRule>
  </conditionalFormatting>
  <conditionalFormatting sqref="BC12">
    <cfRule type="cellIs" priority="81" dxfId="286" operator="lessThan" stopIfTrue="1">
      <formula>BC27+#REF!</formula>
    </cfRule>
    <cfRule type="cellIs" priority="82" dxfId="286" operator="lessThan" stopIfTrue="1">
      <formula>BC14+BC15+#REF!+#REF!+#REF!+#REF!</formula>
    </cfRule>
  </conditionalFormatting>
  <conditionalFormatting sqref="BC30">
    <cfRule type="cellIs" priority="83" dxfId="286" operator="lessThan" stopIfTrue="1">
      <formula>#REF!+BC38</formula>
    </cfRule>
    <cfRule type="cellIs" priority="84" dxfId="286" operator="lessThan" stopIfTrue="1">
      <formula>#REF!+#REF!+#REF!+#REF!+#REF!+#REF!</formula>
    </cfRule>
  </conditionalFormatting>
  <conditionalFormatting sqref="BC31">
    <cfRule type="cellIs" priority="85" dxfId="286" operator="lessThan" stopIfTrue="1">
      <formula>#REF!+BC40</formula>
    </cfRule>
    <cfRule type="cellIs" priority="86" dxfId="286"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286" operator="equal" stopIfTrue="1">
      <formula>"&lt;&gt;"</formula>
    </cfRule>
  </conditionalFormatting>
  <conditionalFormatting sqref="BQ8:BQ31 CO8:CO31 CM8:CM31 CK8:CK31 CI8:CI31 CG8:CG31 CE8:CE31 CC8:CC31 CA8:CA31 BY8:BY31 BW8:BW31 BU8:BU31 BS8:BS31 CS8:CS31 BO8:BO31 CQ8:CQ31 BG8:BG31 BI8:BI31 BK8:BK31 BM8:BM31">
    <cfRule type="cellIs" priority="88" dxfId="286" operator="equal" stopIfTrue="1">
      <formula>"&gt; 25%"</formula>
    </cfRule>
  </conditionalFormatting>
  <conditionalFormatting sqref="BE8:BE31">
    <cfRule type="cellIs" priority="89" dxfId="286" operator="equal" stopIfTrue="1">
      <formula>"&gt; 100%"</formula>
    </cfRule>
  </conditionalFormatting>
  <conditionalFormatting sqref="BC27">
    <cfRule type="cellIs" priority="90" dxfId="286" operator="lessThan" stopIfTrue="1">
      <formula>#REF!+#REF!</formula>
    </cfRule>
    <cfRule type="cellIs" priority="91" dxfId="286" operator="lessThan" stopIfTrue="1">
      <formula>BC29+#REF!+#REF!+#REF!+#REF!+#REF!</formula>
    </cfRule>
  </conditionalFormatting>
  <conditionalFormatting sqref="BC26">
    <cfRule type="cellIs" priority="92" dxfId="286" operator="lessThan" stopIfTrue="1">
      <formula>#REF!+#REF!</formula>
    </cfRule>
    <cfRule type="cellIs" priority="93" dxfId="286" operator="lessThan" stopIfTrue="1">
      <formula>BC28+BC29+#REF!+#REF!+#REF!+#REF!</formula>
    </cfRule>
  </conditionalFormatting>
  <conditionalFormatting sqref="BC28">
    <cfRule type="cellIs" priority="94" dxfId="286" operator="lessThan" stopIfTrue="1">
      <formula>#REF!+#REF!</formula>
    </cfRule>
    <cfRule type="cellIs" priority="95" dxfId="286" operator="lessThan" stopIfTrue="1">
      <formula>#REF!+#REF!+#REF!+#REF!+#REF!+#REF!</formula>
    </cfRule>
  </conditionalFormatting>
  <conditionalFormatting sqref="BC29">
    <cfRule type="cellIs" priority="96" dxfId="286" operator="lessThan" stopIfTrue="1">
      <formula>#REF!+BC37</formula>
    </cfRule>
    <cfRule type="cellIs" priority="97" dxfId="286" operator="lessThan" stopIfTrue="1">
      <formula>BC31+#REF!+#REF!+#REF!+#REF!+#REF!</formula>
    </cfRule>
  </conditionalFormatting>
  <conditionalFormatting sqref="BC21">
    <cfRule type="cellIs" priority="98" dxfId="286" operator="lessThan" stopIfTrue="1">
      <formula>BC36+#REF!</formula>
    </cfRule>
    <cfRule type="cellIs" priority="99" dxfId="286" operator="lessThan" stopIfTrue="1">
      <formula>#REF!+#REF!+#REF!+#REF!+#REF!+BC33</formula>
    </cfRule>
  </conditionalFormatting>
  <conditionalFormatting sqref="BC22">
    <cfRule type="cellIs" priority="100" dxfId="286" operator="lessThan" stopIfTrue="1">
      <formula>BC37+#REF!</formula>
    </cfRule>
    <cfRule type="cellIs" priority="101" dxfId="286" operator="lessThan" stopIfTrue="1">
      <formula>#REF!+#REF!+#REF!+#REF!+BC33+BC35</formula>
    </cfRule>
  </conditionalFormatting>
  <conditionalFormatting sqref="BC20">
    <cfRule type="cellIs" priority="102" dxfId="286" operator="lessThan" stopIfTrue="1">
      <formula>BC35+#REF!</formula>
    </cfRule>
    <cfRule type="cellIs" priority="103" dxfId="286" operator="lessThan" stopIfTrue="1">
      <formula>BC22+#REF!+#REF!+#REF!+#REF!+#REF!</formula>
    </cfRule>
  </conditionalFormatting>
  <conditionalFormatting sqref="BC19">
    <cfRule type="cellIs" priority="104" dxfId="286" operator="lessThan" stopIfTrue="1">
      <formula>BC33+#REF!</formula>
    </cfRule>
    <cfRule type="cellIs" priority="105" dxfId="286" operator="lessThan" stopIfTrue="1">
      <formula>BC21+BC22+#REF!+#REF!+#REF!+#REF!</formula>
    </cfRule>
  </conditionalFormatting>
  <conditionalFormatting sqref="Z24">
    <cfRule type="cellIs" priority="37" dxfId="286" operator="lessThan" stopIfTrue="1">
      <formula>0.99*(Z22-Z23)</formula>
    </cfRule>
  </conditionalFormatting>
  <conditionalFormatting sqref="Z10">
    <cfRule type="cellIs" priority="38" dxfId="286" operator="lessThan" stopIfTrue="1">
      <formula>Z8+Z9-(0.01*(Z8+Z9))</formula>
    </cfRule>
  </conditionalFormatting>
  <conditionalFormatting sqref="Z22">
    <cfRule type="cellIs" priority="39" dxfId="286" operator="lessThan" stopIfTrue="1">
      <formula>Z10+Z18+Z19+Z20-Z21-(0.01*(Z10+Z18+Z19+Z20-Z21))</formula>
    </cfRule>
  </conditionalFormatting>
  <conditionalFormatting sqref="AB24">
    <cfRule type="cellIs" priority="34" dxfId="286" operator="lessThan" stopIfTrue="1">
      <formula>0.99*(AB22-AB23)</formula>
    </cfRule>
  </conditionalFormatting>
  <conditionalFormatting sqref="AB10">
    <cfRule type="cellIs" priority="35" dxfId="286" operator="lessThan" stopIfTrue="1">
      <formula>AB8+AB9-(0.01*(AB8+AB9))</formula>
    </cfRule>
  </conditionalFormatting>
  <conditionalFormatting sqref="AB22">
    <cfRule type="cellIs" priority="36" dxfId="286" operator="lessThan" stopIfTrue="1">
      <formula>AB10+AB18+AB19+AB20-AB21-(0.01*(AB10+AB18+AB19+AB20-AB21))</formula>
    </cfRule>
  </conditionalFormatting>
  <conditionalFormatting sqref="AD24">
    <cfRule type="cellIs" priority="31" dxfId="286" operator="lessThan" stopIfTrue="1">
      <formula>0.99*(AD22-AD23)</formula>
    </cfRule>
  </conditionalFormatting>
  <conditionalFormatting sqref="AD10">
    <cfRule type="cellIs" priority="32" dxfId="286" operator="lessThan" stopIfTrue="1">
      <formula>AD8+AD9-(0.01*(AD8+AD9))</formula>
    </cfRule>
  </conditionalFormatting>
  <conditionalFormatting sqref="AD22">
    <cfRule type="cellIs" priority="33" dxfId="286" operator="lessThan" stopIfTrue="1">
      <formula>AD10+AD18+AD19+AD20-AD21-(0.01*(AD10+AD18+AD19+AD20-AD21))</formula>
    </cfRule>
  </conditionalFormatting>
  <conditionalFormatting sqref="AJ24">
    <cfRule type="cellIs" priority="25" dxfId="286" operator="lessThan" stopIfTrue="1">
      <formula>0.99*(AJ22-AJ23)</formula>
    </cfRule>
  </conditionalFormatting>
  <conditionalFormatting sqref="AJ10">
    <cfRule type="cellIs" priority="26" dxfId="286" operator="lessThan" stopIfTrue="1">
      <formula>AJ8+AJ9-(0.01*(AJ8+AJ9))</formula>
    </cfRule>
  </conditionalFormatting>
  <conditionalFormatting sqref="AJ22">
    <cfRule type="cellIs" priority="27" dxfId="286" operator="lessThan" stopIfTrue="1">
      <formula>AJ10+AJ18+AJ19+AJ20-AJ21-(0.01*(AJ10+AJ18+AJ19+AJ20-AJ21))</formula>
    </cfRule>
  </conditionalFormatting>
  <conditionalFormatting sqref="AH24">
    <cfRule type="cellIs" priority="28" dxfId="286" operator="lessThan" stopIfTrue="1">
      <formula>0.99*(AH22-AH23)</formula>
    </cfRule>
  </conditionalFormatting>
  <conditionalFormatting sqref="AH10">
    <cfRule type="cellIs" priority="29" dxfId="286" operator="lessThan" stopIfTrue="1">
      <formula>AH8+AH9-(0.01*(AH8+AH9))</formula>
    </cfRule>
  </conditionalFormatting>
  <conditionalFormatting sqref="AH22">
    <cfRule type="cellIs" priority="30" dxfId="286" operator="lessThan" stopIfTrue="1">
      <formula>AH10+AH18+AH19+AH20-AH21-(0.01*(AH10+AH18+AH19+AH20-AH21))</formula>
    </cfRule>
  </conditionalFormatting>
  <conditionalFormatting sqref="AL24">
    <cfRule type="cellIs" priority="22" dxfId="286" operator="lessThan" stopIfTrue="1">
      <formula>0.99*(AL22-AL23)</formula>
    </cfRule>
  </conditionalFormatting>
  <conditionalFormatting sqref="AL10">
    <cfRule type="cellIs" priority="23" dxfId="286" operator="lessThan" stopIfTrue="1">
      <formula>AL8+AL9-(0.01*(AL8+AL9))</formula>
    </cfRule>
  </conditionalFormatting>
  <conditionalFormatting sqref="AL22">
    <cfRule type="cellIs" priority="24" dxfId="286" operator="lessThan" stopIfTrue="1">
      <formula>AL10+AL18+AL19+AL20-AL21-(0.01*(AL10+AL18+AL19+AL20-AL21))</formula>
    </cfRule>
  </conditionalFormatting>
  <conditionalFormatting sqref="AN24">
    <cfRule type="cellIs" priority="19" dxfId="286" operator="lessThan" stopIfTrue="1">
      <formula>0.99*(AN22-AN23)</formula>
    </cfRule>
  </conditionalFormatting>
  <conditionalFormatting sqref="AN10">
    <cfRule type="cellIs" priority="20" dxfId="286" operator="lessThan" stopIfTrue="1">
      <formula>AN8+AN9-(0.01*(AN8+AN9))</formula>
    </cfRule>
  </conditionalFormatting>
  <conditionalFormatting sqref="AN22">
    <cfRule type="cellIs" priority="21" dxfId="286" operator="lessThan" stopIfTrue="1">
      <formula>AN10+AN18+AN19+AN20-AN21-(0.01*(AN10+AN18+AN19+AN20-AN21))</formula>
    </cfRule>
  </conditionalFormatting>
  <conditionalFormatting sqref="AP24">
    <cfRule type="cellIs" priority="16" dxfId="286" operator="lessThan" stopIfTrue="1">
      <formula>0.99*(AP22-AP23)</formula>
    </cfRule>
  </conditionalFormatting>
  <conditionalFormatting sqref="AP10">
    <cfRule type="cellIs" priority="17" dxfId="286" operator="lessThan" stopIfTrue="1">
      <formula>AP8+AP9-(0.01*(AP8+AP9))</formula>
    </cfRule>
  </conditionalFormatting>
  <conditionalFormatting sqref="AP22">
    <cfRule type="cellIs" priority="18" dxfId="286" operator="lessThan" stopIfTrue="1">
      <formula>AP10+AP18+AP19+AP20-AP21-(0.01*(AP10+AP18+AP19+AP20-AP21))</formula>
    </cfRule>
  </conditionalFormatting>
  <conditionalFormatting sqref="AR24">
    <cfRule type="cellIs" priority="13" dxfId="286" operator="lessThan" stopIfTrue="1">
      <formula>0.99*(AR22-AR23)</formula>
    </cfRule>
  </conditionalFormatting>
  <conditionalFormatting sqref="AR10">
    <cfRule type="cellIs" priority="14" dxfId="286" operator="lessThan" stopIfTrue="1">
      <formula>AR8+AR9-(0.01*(AR8+AR9))</formula>
    </cfRule>
  </conditionalFormatting>
  <conditionalFormatting sqref="AR22">
    <cfRule type="cellIs" priority="15" dxfId="286" operator="lessThan" stopIfTrue="1">
      <formula>AR10+AR18+AR19+AR20-AR21-(0.01*(AR10+AR18+AR19+AR20-AR21))</formula>
    </cfRule>
  </conditionalFormatting>
  <conditionalFormatting sqref="AT24">
    <cfRule type="cellIs" priority="10" dxfId="286" operator="lessThan" stopIfTrue="1">
      <formula>0.99*(AT22-AT23)</formula>
    </cfRule>
  </conditionalFormatting>
  <conditionalFormatting sqref="AT10">
    <cfRule type="cellIs" priority="11" dxfId="286" operator="lessThan" stopIfTrue="1">
      <formula>AT8+AT9-(0.01*(AT8+AT9))</formula>
    </cfRule>
  </conditionalFormatting>
  <conditionalFormatting sqref="AT22">
    <cfRule type="cellIs" priority="12" dxfId="286" operator="lessThan" stopIfTrue="1">
      <formula>AT10+AT18+AT19+AT20-AT21-(0.01*(AT10+AT18+AT19+AT20-AT21))</formula>
    </cfRule>
  </conditionalFormatting>
  <conditionalFormatting sqref="AV24">
    <cfRule type="cellIs" priority="7" dxfId="286" operator="lessThan" stopIfTrue="1">
      <formula>0.99*(AV22-AV23)</formula>
    </cfRule>
  </conditionalFormatting>
  <conditionalFormatting sqref="AV10">
    <cfRule type="cellIs" priority="8" dxfId="286" operator="lessThan" stopIfTrue="1">
      <formula>AV8+AV9-(0.01*(AV8+AV9))</formula>
    </cfRule>
  </conditionalFormatting>
  <conditionalFormatting sqref="AV22">
    <cfRule type="cellIs" priority="9" dxfId="286" operator="lessThan" stopIfTrue="1">
      <formula>AV10+AV18+AV19+AV20-AV21-(0.01*(AV10+AV18+AV19+AV20-AV21))</formula>
    </cfRule>
  </conditionalFormatting>
  <conditionalFormatting sqref="AF24">
    <cfRule type="cellIs" priority="4" dxfId="286" operator="lessThan" stopIfTrue="1">
      <formula>0.99*(AF22-AF23)</formula>
    </cfRule>
  </conditionalFormatting>
  <conditionalFormatting sqref="AF10">
    <cfRule type="cellIs" priority="5" dxfId="286" operator="lessThan" stopIfTrue="1">
      <formula>AF8+AF9-(0.01*(AF8+AF9))</formula>
    </cfRule>
  </conditionalFormatting>
  <conditionalFormatting sqref="AF22">
    <cfRule type="cellIs" priority="6" dxfId="286" operator="lessThan" stopIfTrue="1">
      <formula>AF10+AF18+AF19+AF20-AF21-(0.01*(AF10+AF18+AF19+AF20-AF21))</formula>
    </cfRule>
  </conditionalFormatting>
  <conditionalFormatting sqref="N24">
    <cfRule type="cellIs" priority="1" dxfId="286" operator="lessThan" stopIfTrue="1">
      <formula>0.99*(N22-N23)</formula>
    </cfRule>
  </conditionalFormatting>
  <conditionalFormatting sqref="N10">
    <cfRule type="cellIs" priority="2" dxfId="286" operator="lessThan" stopIfTrue="1">
      <formula>N8+N9-(0.01*(N8+N9))</formula>
    </cfRule>
  </conditionalFormatting>
  <conditionalFormatting sqref="N22">
    <cfRule type="cellIs" priority="3" dxfId="286"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H67"/>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7.83203125" style="189" hidden="1" customWidth="1"/>
    <col min="2" max="2" width="7.83203125"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v>520</v>
      </c>
      <c r="C3" s="349" t="s">
        <v>358</v>
      </c>
      <c r="D3" s="32" t="s">
        <v>185</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t="s">
        <v>604</v>
      </c>
      <c r="AM3" s="438"/>
      <c r="AN3" s="439"/>
      <c r="AO3" s="442"/>
      <c r="AP3" s="442"/>
      <c r="AQ3" s="442"/>
      <c r="AR3" s="442"/>
      <c r="AS3" s="442"/>
      <c r="AT3" s="443"/>
      <c r="AU3" s="443"/>
      <c r="AV3" s="443"/>
      <c r="AW3" s="443"/>
      <c r="AX3" s="443"/>
      <c r="AY3" s="446"/>
      <c r="AZ3" s="356" t="s">
        <v>60</v>
      </c>
      <c r="BA3" s="447"/>
      <c r="BB3" s="447"/>
      <c r="BC3" s="363"/>
      <c r="BD3" s="363"/>
      <c r="BE3" s="363"/>
      <c r="BF3" s="363"/>
      <c r="BG3" s="849"/>
      <c r="BH3" s="849"/>
      <c r="BI3" s="849"/>
      <c r="BJ3" s="449"/>
      <c r="BK3" s="449"/>
      <c r="BL3" s="449"/>
      <c r="BM3" s="849"/>
      <c r="BN3" s="849"/>
      <c r="BO3" s="849"/>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812" t="s">
        <v>232</v>
      </c>
      <c r="D5" s="812"/>
      <c r="E5" s="850"/>
      <c r="F5" s="850"/>
      <c r="G5" s="850"/>
      <c r="H5" s="850"/>
      <c r="I5" s="814"/>
      <c r="J5" s="814"/>
      <c r="K5" s="814"/>
      <c r="L5" s="814"/>
      <c r="M5" s="814"/>
      <c r="N5" s="814"/>
      <c r="O5" s="814"/>
      <c r="P5" s="814"/>
      <c r="Q5" s="814"/>
      <c r="R5" s="814"/>
      <c r="S5" s="814"/>
      <c r="T5" s="814"/>
      <c r="U5" s="814"/>
      <c r="V5" s="814"/>
      <c r="W5" s="814"/>
      <c r="X5" s="850"/>
      <c r="Y5" s="814"/>
      <c r="Z5" s="850"/>
      <c r="AA5" s="814"/>
      <c r="AB5" s="850"/>
      <c r="AC5" s="814"/>
      <c r="AD5" s="850"/>
      <c r="AE5" s="814"/>
      <c r="AF5" s="850"/>
      <c r="AG5" s="814"/>
      <c r="AH5" s="850"/>
      <c r="AI5" s="814"/>
      <c r="AJ5" s="814"/>
      <c r="AK5" s="814"/>
      <c r="AL5" s="850"/>
      <c r="AM5" s="814"/>
      <c r="AN5" s="850"/>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65"/>
      <c r="AU8" s="624"/>
      <c r="AV8" s="664"/>
      <c r="AW8" s="624"/>
      <c r="AY8" s="200"/>
      <c r="AZ8" s="388">
        <v>1</v>
      </c>
      <c r="BA8" s="267" t="s">
        <v>16</v>
      </c>
      <c r="BB8" s="455" t="s">
        <v>348</v>
      </c>
      <c r="BC8" s="255" t="s">
        <v>97</v>
      </c>
      <c r="BD8" s="647"/>
      <c r="BE8" s="82" t="str">
        <f>IF(OR(ISBLANK(F8),ISBLANK(H8)),"N/A",IF(ABS((H8-F8)/F8)&gt;1,"&gt; 100%","ok"))</f>
        <v>N/A</v>
      </c>
      <c r="BF8" s="64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N/A</v>
      </c>
      <c r="BP8" s="85"/>
      <c r="BQ8" s="85" t="str">
        <f aca="true" t="shared" si="1" ref="BQ8:BQ16">IF(OR(ISBLANK(R8),ISBLANK(T8)),"N/A",IF(ABS((T8-R8)/R8)&gt;0.25,"&gt; 25%","ok"))</f>
        <v>N/A</v>
      </c>
      <c r="BR8" s="85"/>
      <c r="BS8" s="85" t="str">
        <f aca="true" t="shared" si="2" ref="BS8:BS16">IF(OR(ISBLANK(T8),ISBLANK(V8)),"N/A",IF(ABS((V8-T8)/T8)&gt;0.25,"&gt; 25%","ok"))</f>
        <v>N/A</v>
      </c>
      <c r="BT8" s="85"/>
      <c r="BU8" s="85" t="str">
        <f aca="true" t="shared" si="3" ref="BU8:BU16">IF(OR(ISBLANK(V8),ISBLANK(X8)),"N/A",IF(ABS((X8-V8)/V8)&gt;0.25,"&gt; 25%","ok"))</f>
        <v>N/A</v>
      </c>
      <c r="BV8" s="85"/>
      <c r="BW8" s="85" t="str">
        <f aca="true" t="shared" si="4" ref="BW8:BW16">IF(OR(ISBLANK(X8),ISBLANK(Z8)),"N/A",IF(ABS((Z8-X8)/X8)&gt;0.25,"&gt; 25%","ok"))</f>
        <v>N/A</v>
      </c>
      <c r="BX8" s="85"/>
      <c r="BY8" s="85" t="str">
        <f aca="true" t="shared" si="5" ref="BY8:BY16">IF(OR(ISBLANK(Z8),ISBLANK(AB8)),"N/A",IF(ABS((AB8-Z8)/Z8)&gt;0.25,"&gt; 25%","ok"))</f>
        <v>N/A</v>
      </c>
      <c r="BZ8" s="85"/>
      <c r="CA8" s="85" t="str">
        <f aca="true" t="shared" si="6" ref="CA8:CA16">IF(OR(ISBLANK(AB8),ISBLANK(AD8)),"N/A",IF(ABS((AD8-AB8)/AB8)&gt;0.25,"&gt; 25%","ok"))</f>
        <v>N/A</v>
      </c>
      <c r="CB8" s="85"/>
      <c r="CC8" s="85" t="str">
        <f aca="true" t="shared" si="7" ref="CC8:CC16">IF(OR(ISBLANK(AD8),ISBLANK(AF8)),"N/A",IF(ABS((AF8-AD8)/AD8)&gt;0.25,"&gt; 25%","ok"))</f>
        <v>N/A</v>
      </c>
      <c r="CD8" s="85"/>
      <c r="CE8" s="85" t="str">
        <f aca="true" t="shared" si="8" ref="CE8:CE16">IF(OR(ISBLANK(AF8),ISBLANK(AH8)),"N/A",IF(ABS((AH8-AF8)/AF8)&gt;0.25,"&gt; 25%","ok"))</f>
        <v>N/A</v>
      </c>
      <c r="CF8" s="85"/>
      <c r="CG8" s="85" t="str">
        <f aca="true" t="shared" si="9" ref="CG8:CG16">IF(OR(ISBLANK(AH8),ISBLANK(AJ8)),"N/A",IF(ABS((AJ8-AH8)/AH8)&gt;0.25,"&gt; 25%","ok"))</f>
        <v>N/A</v>
      </c>
      <c r="CH8" s="85"/>
      <c r="CI8" s="85" t="str">
        <f aca="true" t="shared" si="10" ref="CI8:CI16">IF(OR(ISBLANK(AJ8),ISBLANK(AL8)),"N/A",IF(ABS((AL8-AJ8)/AJ8)&gt;0.25,"&gt; 25%","ok"))</f>
        <v>N/A</v>
      </c>
      <c r="CJ8" s="85"/>
      <c r="CK8" s="85" t="str">
        <f aca="true" t="shared" si="11" ref="CK8:CK16">IF(OR(ISBLANK(AL8),ISBLANK(AN8)),"N/A",IF(ABS((AN8-AL8)/AL8)&gt;0.25,"&gt; 25%","ok"))</f>
        <v>N/A</v>
      </c>
      <c r="CL8" s="85"/>
      <c r="CM8" s="85" t="str">
        <f>IF(OR(ISBLANK(AN8),ISBLANK(AP8)),"N/A",IF(ABS((AP8-AN8)/AN8)&gt;0.25,"&gt; 25%","ok"))</f>
        <v>N/A</v>
      </c>
      <c r="CN8" s="85"/>
      <c r="CO8" s="85" t="str">
        <f>IF(OR(ISBLANK(AP8),ISBLANK(AR8)),"N/A",IF(ABS((AR8-AP8)/AP8)&gt;0.25,"&gt; 25%","ok"))</f>
        <v>N/A</v>
      </c>
      <c r="CP8" s="85"/>
      <c r="CQ8" s="85" t="str">
        <f>IF(OR(ISBLANK(AR8),ISBLANK(AV8)),"N/A",IF(ABS((AV8-AR8)/AR8)&gt;0.25,"&gt; 25%","ok"))</f>
        <v>N/A</v>
      </c>
      <c r="CR8" s="85"/>
      <c r="CS8" s="85" t="str">
        <f>IF(OR(ISBLANK(AV8),ISBLANK(#REF!)),"N/A",IF(ABS((#REF!-AV8)/AV8)&gt;0.25,"&gt; 25%","ok"))</f>
        <v>N/A</v>
      </c>
    </row>
    <row r="9" spans="1:97" s="211" customFormat="1" ht="15" customHeight="1">
      <c r="A9" s="189"/>
      <c r="B9" s="247">
        <v>2416</v>
      </c>
      <c r="C9" s="265">
        <v>2</v>
      </c>
      <c r="D9" s="262" t="s">
        <v>17</v>
      </c>
      <c r="E9" s="265" t="s">
        <v>360</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Y9" s="200"/>
      <c r="AZ9" s="84">
        <v>2</v>
      </c>
      <c r="BA9" s="258" t="s">
        <v>17</v>
      </c>
      <c r="BB9" s="84" t="s">
        <v>360</v>
      </c>
      <c r="BC9" s="84" t="s">
        <v>97</v>
      </c>
      <c r="BD9" s="647"/>
      <c r="BE9" s="82" t="str">
        <f aca="true" t="shared" si="12" ref="BE9:BE16">IF(OR(ISBLANK(F9),ISBLANK(H9)),"N/A",IF(ABS((H9-F9)/F9)&gt;1,"&gt; 100%","ok"))</f>
        <v>N/A</v>
      </c>
      <c r="BF9" s="64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N/A</v>
      </c>
      <c r="BP9" s="85"/>
      <c r="BQ9" s="85" t="str">
        <f t="shared" si="1"/>
        <v>N/A</v>
      </c>
      <c r="BR9" s="85"/>
      <c r="BS9" s="85" t="str">
        <f t="shared" si="2"/>
        <v>N/A</v>
      </c>
      <c r="BT9" s="85"/>
      <c r="BU9" s="85" t="str">
        <f t="shared" si="3"/>
        <v>N/A</v>
      </c>
      <c r="BV9" s="85"/>
      <c r="BW9" s="85" t="str">
        <f t="shared" si="4"/>
        <v>N/A</v>
      </c>
      <c r="BX9" s="85"/>
      <c r="BY9" s="85" t="str">
        <f t="shared" si="5"/>
        <v>N/A</v>
      </c>
      <c r="BZ9" s="85"/>
      <c r="CA9" s="85" t="str">
        <f t="shared" si="6"/>
        <v>N/A</v>
      </c>
      <c r="CB9" s="85"/>
      <c r="CC9" s="85" t="str">
        <f t="shared" si="7"/>
        <v>N/A</v>
      </c>
      <c r="CD9" s="85"/>
      <c r="CE9" s="85" t="str">
        <f t="shared" si="8"/>
        <v>N/A</v>
      </c>
      <c r="CF9" s="85"/>
      <c r="CG9" s="85" t="str">
        <f t="shared" si="9"/>
        <v>N/A</v>
      </c>
      <c r="CH9" s="85"/>
      <c r="CI9" s="85" t="str">
        <f t="shared" si="10"/>
        <v>N/A</v>
      </c>
      <c r="CJ9" s="85"/>
      <c r="CK9" s="85" t="str">
        <f t="shared" si="11"/>
        <v>N/A</v>
      </c>
      <c r="CL9" s="85"/>
      <c r="CM9" s="85" t="str">
        <f aca="true" t="shared" si="13" ref="CM9:CM20">IF(OR(ISBLANK(AN9),ISBLANK(AP9)),"N/A",IF(ABS((AP9-AN9)/AN9)&gt;0.25,"&gt; 25%","ok"))</f>
        <v>N/A</v>
      </c>
      <c r="CN9" s="85"/>
      <c r="CO9" s="85" t="str">
        <f>IF(OR(ISBLANK(AP9),ISBLANK(AR9)),"N/A",IF(ABS((AR9-AP9)/AP9)&gt;0.25,"&gt; 25%","ok"))</f>
        <v>N/A</v>
      </c>
      <c r="CP9" s="85"/>
      <c r="CQ9" s="85" t="str">
        <f>IF(OR(ISBLANK(AR9),ISBLANK(AT9)),"N/A",IF(ABS((AT9-AR9)/AR9)&gt;0.25,"&gt; 25%","ok"))</f>
        <v>N/A</v>
      </c>
      <c r="CR9" s="85"/>
      <c r="CS9" s="85" t="str">
        <f aca="true" t="shared" si="14" ref="CS9:CS20">IF(OR(ISBLANK(AT9),ISBLANK(AV9)),"N/A",IF(ABS((AV9-AT9)/AT9)&gt;0.25,"&gt; 25%","ok"))</f>
        <v>N/A</v>
      </c>
    </row>
    <row r="10" spans="1:97" s="457" customFormat="1" ht="35.25" customHeight="1">
      <c r="A10" s="456" t="s">
        <v>77</v>
      </c>
      <c r="B10" s="247">
        <v>29</v>
      </c>
      <c r="C10" s="384">
        <v>3</v>
      </c>
      <c r="D10" s="264" t="s">
        <v>59</v>
      </c>
      <c r="E10" s="265" t="s">
        <v>360</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Y10" s="458"/>
      <c r="AZ10" s="388">
        <v>3</v>
      </c>
      <c r="BA10" s="267" t="s">
        <v>18</v>
      </c>
      <c r="BB10" s="388" t="s">
        <v>348</v>
      </c>
      <c r="BC10" s="84" t="s">
        <v>97</v>
      </c>
      <c r="BD10" s="647"/>
      <c r="BE10" s="85" t="str">
        <f t="shared" si="12"/>
        <v>N/A</v>
      </c>
      <c r="BF10" s="64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N/A</v>
      </c>
      <c r="BP10" s="85"/>
      <c r="BQ10" s="85" t="str">
        <f t="shared" si="1"/>
        <v>N/A</v>
      </c>
      <c r="BR10" s="85"/>
      <c r="BS10" s="85" t="str">
        <f t="shared" si="2"/>
        <v>N/A</v>
      </c>
      <c r="BT10" s="85"/>
      <c r="BU10" s="85" t="str">
        <f t="shared" si="3"/>
        <v>N/A</v>
      </c>
      <c r="BV10" s="85"/>
      <c r="BW10" s="85" t="str">
        <f t="shared" si="4"/>
        <v>N/A</v>
      </c>
      <c r="BX10" s="85"/>
      <c r="BY10" s="85" t="str">
        <f t="shared" si="5"/>
        <v>N/A</v>
      </c>
      <c r="BZ10" s="85"/>
      <c r="CA10" s="85" t="str">
        <f t="shared" si="6"/>
        <v>N/A</v>
      </c>
      <c r="CB10" s="85"/>
      <c r="CC10" s="85" t="str">
        <f t="shared" si="7"/>
        <v>N/A</v>
      </c>
      <c r="CD10" s="85"/>
      <c r="CE10" s="85" t="str">
        <f t="shared" si="8"/>
        <v>N/A</v>
      </c>
      <c r="CF10" s="85"/>
      <c r="CG10" s="85" t="str">
        <f t="shared" si="9"/>
        <v>N/A</v>
      </c>
      <c r="CH10" s="85"/>
      <c r="CI10" s="85" t="str">
        <f t="shared" si="10"/>
        <v>N/A</v>
      </c>
      <c r="CJ10" s="85"/>
      <c r="CK10" s="85" t="str">
        <f t="shared" si="11"/>
        <v>N/A</v>
      </c>
      <c r="CL10" s="85"/>
      <c r="CM10" s="85" t="str">
        <f t="shared" si="13"/>
        <v>N/A</v>
      </c>
      <c r="CN10" s="85"/>
      <c r="CO10" s="85" t="str">
        <f>IF(OR(ISBLANK(AP10),ISBLANK(AR10)),"N/A",IF(ABS((AR10-AP10)/AP10)&gt;0.25,"&gt; 25%","ok"))</f>
        <v>N/A</v>
      </c>
      <c r="CP10" s="85"/>
      <c r="CQ10" s="85" t="str">
        <f>IF(OR(ISBLANK(AR10),ISBLANK(AT10)),"N/A",IF(ABS((AT10-AR10)/AR10)&gt;0.25,"&gt; 25%","ok"))</f>
        <v>N/A</v>
      </c>
      <c r="CR10" s="85"/>
      <c r="CS10" s="85" t="str">
        <f t="shared" si="14"/>
        <v>N/A</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6"/>
      <c r="BE11" s="82"/>
      <c r="BF11" s="646"/>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c r="Q12" s="622"/>
      <c r="R12" s="610"/>
      <c r="S12" s="622"/>
      <c r="T12" s="610"/>
      <c r="U12" s="622"/>
      <c r="V12" s="610"/>
      <c r="W12" s="622"/>
      <c r="X12" s="610"/>
      <c r="Y12" s="622"/>
      <c r="Z12" s="610"/>
      <c r="AA12" s="622"/>
      <c r="AB12" s="610"/>
      <c r="AC12" s="622"/>
      <c r="AD12" s="610"/>
      <c r="AE12" s="622"/>
      <c r="AF12" s="610"/>
      <c r="AG12" s="622"/>
      <c r="AH12" s="610"/>
      <c r="AI12" s="622"/>
      <c r="AJ12" s="610"/>
      <c r="AK12" s="622"/>
      <c r="AL12" s="610"/>
      <c r="AM12" s="622"/>
      <c r="AN12" s="610"/>
      <c r="AO12" s="622"/>
      <c r="AP12" s="610"/>
      <c r="AQ12" s="622"/>
      <c r="AR12" s="610"/>
      <c r="AS12" s="622"/>
      <c r="AT12" s="610"/>
      <c r="AU12" s="622"/>
      <c r="AV12" s="610"/>
      <c r="AW12" s="622"/>
      <c r="AY12" s="464"/>
      <c r="AZ12" s="101">
        <v>4</v>
      </c>
      <c r="BA12" s="465" t="s">
        <v>378</v>
      </c>
      <c r="BB12" s="84" t="s">
        <v>360</v>
      </c>
      <c r="BC12" s="82" t="s">
        <v>97</v>
      </c>
      <c r="BD12" s="646"/>
      <c r="BE12" s="82" t="str">
        <f t="shared" si="12"/>
        <v>N/A</v>
      </c>
      <c r="BF12" s="646"/>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N/A</v>
      </c>
      <c r="BP12" s="85"/>
      <c r="BQ12" s="85" t="str">
        <f t="shared" si="1"/>
        <v>N/A</v>
      </c>
      <c r="BR12" s="85"/>
      <c r="BS12" s="85" t="str">
        <f t="shared" si="2"/>
        <v>N/A</v>
      </c>
      <c r="BT12" s="85"/>
      <c r="BU12" s="85" t="str">
        <f t="shared" si="3"/>
        <v>N/A</v>
      </c>
      <c r="BV12" s="85"/>
      <c r="BW12" s="85" t="str">
        <f t="shared" si="4"/>
        <v>N/A</v>
      </c>
      <c r="BX12" s="85"/>
      <c r="BY12" s="85" t="str">
        <f t="shared" si="5"/>
        <v>N/A</v>
      </c>
      <c r="BZ12" s="85"/>
      <c r="CA12" s="85" t="str">
        <f t="shared" si="6"/>
        <v>N/A</v>
      </c>
      <c r="CB12" s="85"/>
      <c r="CC12" s="85" t="str">
        <f t="shared" si="7"/>
        <v>N/A</v>
      </c>
      <c r="CD12" s="85"/>
      <c r="CE12" s="85" t="str">
        <f t="shared" si="8"/>
        <v>N/A</v>
      </c>
      <c r="CF12" s="85"/>
      <c r="CG12" s="85" t="str">
        <f t="shared" si="9"/>
        <v>N/A</v>
      </c>
      <c r="CH12" s="85"/>
      <c r="CI12" s="85" t="str">
        <f t="shared" si="10"/>
        <v>N/A</v>
      </c>
      <c r="CJ12" s="85"/>
      <c r="CK12" s="85" t="str">
        <f t="shared" si="11"/>
        <v>N/A</v>
      </c>
      <c r="CL12" s="85"/>
      <c r="CM12" s="85" t="str">
        <f t="shared" si="13"/>
        <v>N/A</v>
      </c>
      <c r="CN12" s="85"/>
      <c r="CO12" s="85" t="str">
        <f>IF(OR(ISBLANK(AP12),ISBLANK(AR12)),"N/A",IF(ABS((AR12-AP12)/AP12)&gt;0.25,"&gt; 25%","ok"))</f>
        <v>N/A</v>
      </c>
      <c r="CP12" s="85"/>
      <c r="CQ12" s="85" t="str">
        <f>IF(OR(ISBLANK(AR12),ISBLANK(AT12)),"N/A",IF(ABS((AT12-AR12)/AR12)&gt;0.25,"&gt; 25%","ok"))</f>
        <v>N/A</v>
      </c>
      <c r="CR12" s="85"/>
      <c r="CS12" s="85" t="str">
        <f t="shared" si="14"/>
        <v>N/A</v>
      </c>
    </row>
    <row r="13" spans="2:97" ht="15" customHeight="1">
      <c r="B13" s="247">
        <v>81</v>
      </c>
      <c r="C13" s="265">
        <v>5</v>
      </c>
      <c r="D13" s="466" t="s">
        <v>137</v>
      </c>
      <c r="E13" s="256"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Z13" s="84">
        <v>5</v>
      </c>
      <c r="BA13" s="467" t="s">
        <v>566</v>
      </c>
      <c r="BB13" s="84" t="s">
        <v>360</v>
      </c>
      <c r="BC13" s="84" t="s">
        <v>97</v>
      </c>
      <c r="BD13" s="647"/>
      <c r="BE13" s="82" t="str">
        <f t="shared" si="12"/>
        <v>N/A</v>
      </c>
      <c r="BF13" s="647"/>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str">
        <f t="shared" si="0"/>
        <v>N/A</v>
      </c>
      <c r="BP13" s="85"/>
      <c r="BQ13" s="85" t="str">
        <f t="shared" si="1"/>
        <v>N/A</v>
      </c>
      <c r="BR13" s="85"/>
      <c r="BS13" s="85" t="str">
        <f t="shared" si="2"/>
        <v>N/A</v>
      </c>
      <c r="BT13" s="85"/>
      <c r="BU13" s="85" t="str">
        <f t="shared" si="3"/>
        <v>N/A</v>
      </c>
      <c r="BV13" s="85"/>
      <c r="BW13" s="85" t="str">
        <f t="shared" si="4"/>
        <v>N/A</v>
      </c>
      <c r="BX13" s="85"/>
      <c r="BY13" s="85" t="str">
        <f t="shared" si="5"/>
        <v>N/A</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1"/>
      <c r="G14" s="623"/>
      <c r="H14" s="641"/>
      <c r="I14" s="623"/>
      <c r="J14" s="641"/>
      <c r="K14" s="623"/>
      <c r="L14" s="641"/>
      <c r="M14" s="623"/>
      <c r="N14" s="641"/>
      <c r="O14" s="623"/>
      <c r="P14" s="641"/>
      <c r="Q14" s="623"/>
      <c r="R14" s="641"/>
      <c r="S14" s="623"/>
      <c r="T14" s="641"/>
      <c r="U14" s="623"/>
      <c r="V14" s="641"/>
      <c r="W14" s="623"/>
      <c r="X14" s="641"/>
      <c r="Y14" s="623"/>
      <c r="Z14" s="641"/>
      <c r="AA14" s="623"/>
      <c r="AB14" s="641"/>
      <c r="AC14" s="623"/>
      <c r="AD14" s="641"/>
      <c r="AE14" s="623"/>
      <c r="AF14" s="641"/>
      <c r="AG14" s="623"/>
      <c r="AH14" s="641"/>
      <c r="AI14" s="623"/>
      <c r="AJ14" s="641"/>
      <c r="AK14" s="623"/>
      <c r="AL14" s="641"/>
      <c r="AM14" s="623"/>
      <c r="AN14" s="641"/>
      <c r="AO14" s="623"/>
      <c r="AP14" s="641"/>
      <c r="AQ14" s="623"/>
      <c r="AR14" s="641"/>
      <c r="AS14" s="623"/>
      <c r="AT14" s="641"/>
      <c r="AU14" s="623"/>
      <c r="AV14" s="641"/>
      <c r="AW14" s="623"/>
      <c r="AZ14" s="101">
        <v>6</v>
      </c>
      <c r="BA14" s="467" t="s">
        <v>567</v>
      </c>
      <c r="BB14" s="84" t="s">
        <v>360</v>
      </c>
      <c r="BC14" s="84" t="s">
        <v>97</v>
      </c>
      <c r="BD14" s="647"/>
      <c r="BE14" s="82" t="str">
        <f t="shared" si="12"/>
        <v>N/A</v>
      </c>
      <c r="BF14" s="647"/>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N/A</v>
      </c>
      <c r="BP14" s="85"/>
      <c r="BQ14" s="85" t="str">
        <f t="shared" si="1"/>
        <v>N/A</v>
      </c>
      <c r="BR14" s="85"/>
      <c r="BS14" s="85" t="str">
        <f t="shared" si="2"/>
        <v>N/A</v>
      </c>
      <c r="BT14" s="85"/>
      <c r="BU14" s="85" t="str">
        <f t="shared" si="3"/>
        <v>N/A</v>
      </c>
      <c r="BV14" s="85"/>
      <c r="BW14" s="85" t="str">
        <f t="shared" si="4"/>
        <v>N/A</v>
      </c>
      <c r="BX14" s="85"/>
      <c r="BY14" s="85" t="str">
        <f t="shared" si="5"/>
        <v>N/A</v>
      </c>
      <c r="BZ14" s="85"/>
      <c r="CA14" s="85" t="str">
        <f t="shared" si="6"/>
        <v>N/A</v>
      </c>
      <c r="CB14" s="85"/>
      <c r="CC14" s="85" t="str">
        <f t="shared" si="7"/>
        <v>N/A</v>
      </c>
      <c r="CD14" s="85"/>
      <c r="CE14" s="85" t="str">
        <f t="shared" si="8"/>
        <v>N/A</v>
      </c>
      <c r="CF14" s="85"/>
      <c r="CG14" s="85" t="str">
        <f t="shared" si="9"/>
        <v>N/A</v>
      </c>
      <c r="CH14" s="85"/>
      <c r="CI14" s="85" t="str">
        <f t="shared" si="10"/>
        <v>N/A</v>
      </c>
      <c r="CJ14" s="85"/>
      <c r="CK14" s="85" t="str">
        <f t="shared" si="11"/>
        <v>N/A</v>
      </c>
      <c r="CL14" s="85"/>
      <c r="CM14" s="85" t="str">
        <f t="shared" si="13"/>
        <v>N/A</v>
      </c>
      <c r="CN14" s="85"/>
      <c r="CO14" s="85" t="str">
        <f>IF(OR(ISBLANK(AP14),ISBLANK(AR14)),"N/A",IF(ABS((AR14-AP14)/AP14)&gt;0.25,"&gt; 25%","ok"))</f>
        <v>N/A</v>
      </c>
      <c r="CP14" s="85"/>
      <c r="CQ14" s="85" t="str">
        <f>IF(OR(ISBLANK(AR14),ISBLANK(AT14)),"N/A",IF(ABS((AT14-AR14)/AR14)&gt;0.25,"&gt; 25%","ok"))</f>
        <v>N/A</v>
      </c>
      <c r="CR14" s="85"/>
      <c r="CS14" s="85" t="str">
        <f t="shared" si="14"/>
        <v>N/A</v>
      </c>
    </row>
    <row r="15" spans="2:97" ht="15" customHeight="1">
      <c r="B15" s="247">
        <v>82</v>
      </c>
      <c r="C15" s="250">
        <v>7</v>
      </c>
      <c r="D15" s="462" t="s">
        <v>199</v>
      </c>
      <c r="E15" s="256" t="s">
        <v>360</v>
      </c>
      <c r="F15" s="641"/>
      <c r="G15" s="623"/>
      <c r="H15" s="641"/>
      <c r="I15" s="623"/>
      <c r="J15" s="641"/>
      <c r="K15" s="623"/>
      <c r="L15" s="641"/>
      <c r="M15" s="623"/>
      <c r="N15" s="641"/>
      <c r="O15" s="623"/>
      <c r="P15" s="641"/>
      <c r="Q15" s="623"/>
      <c r="R15" s="641"/>
      <c r="S15" s="623"/>
      <c r="T15" s="641"/>
      <c r="U15" s="623"/>
      <c r="V15" s="641"/>
      <c r="W15" s="623"/>
      <c r="X15" s="641"/>
      <c r="Y15" s="623"/>
      <c r="Z15" s="641"/>
      <c r="AA15" s="623"/>
      <c r="AB15" s="641"/>
      <c r="AC15" s="623"/>
      <c r="AD15" s="641"/>
      <c r="AE15" s="623"/>
      <c r="AF15" s="641"/>
      <c r="AG15" s="623"/>
      <c r="AH15" s="641"/>
      <c r="AI15" s="623"/>
      <c r="AJ15" s="641"/>
      <c r="AK15" s="623"/>
      <c r="AL15" s="641"/>
      <c r="AM15" s="623"/>
      <c r="AN15" s="641"/>
      <c r="AO15" s="623"/>
      <c r="AP15" s="641"/>
      <c r="AQ15" s="623"/>
      <c r="AR15" s="641"/>
      <c r="AS15" s="623"/>
      <c r="AT15" s="641"/>
      <c r="AU15" s="623"/>
      <c r="AV15" s="641"/>
      <c r="AW15" s="623"/>
      <c r="AZ15" s="84">
        <v>7</v>
      </c>
      <c r="BA15" s="465" t="s">
        <v>199</v>
      </c>
      <c r="BB15" s="84" t="s">
        <v>360</v>
      </c>
      <c r="BC15" s="84" t="s">
        <v>97</v>
      </c>
      <c r="BD15" s="647"/>
      <c r="BE15" s="82" t="str">
        <f t="shared" si="12"/>
        <v>N/A</v>
      </c>
      <c r="BF15" s="647"/>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str">
        <f t="shared" si="0"/>
        <v>N/A</v>
      </c>
      <c r="BP15" s="85"/>
      <c r="BQ15" s="85" t="str">
        <f t="shared" si="1"/>
        <v>N/A</v>
      </c>
      <c r="BR15" s="85"/>
      <c r="BS15" s="85" t="str">
        <f t="shared" si="2"/>
        <v>N/A</v>
      </c>
      <c r="BT15" s="85"/>
      <c r="BU15" s="85" t="str">
        <f t="shared" si="3"/>
        <v>N/A</v>
      </c>
      <c r="BV15" s="85"/>
      <c r="BW15" s="85" t="str">
        <f t="shared" si="4"/>
        <v>N/A</v>
      </c>
      <c r="BX15" s="85"/>
      <c r="BY15" s="85" t="str">
        <f t="shared" si="5"/>
        <v>N/A</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3"/>
      <c r="G16" s="628"/>
      <c r="H16" s="643"/>
      <c r="I16" s="628"/>
      <c r="J16" s="643"/>
      <c r="K16" s="628"/>
      <c r="L16" s="643"/>
      <c r="M16" s="628"/>
      <c r="N16" s="643"/>
      <c r="O16" s="628"/>
      <c r="P16" s="643"/>
      <c r="Q16" s="628"/>
      <c r="R16" s="643"/>
      <c r="S16" s="628"/>
      <c r="T16" s="643"/>
      <c r="U16" s="628"/>
      <c r="V16" s="643"/>
      <c r="W16" s="628"/>
      <c r="X16" s="643"/>
      <c r="Y16" s="628"/>
      <c r="Z16" s="643"/>
      <c r="AA16" s="628"/>
      <c r="AB16" s="643"/>
      <c r="AC16" s="628"/>
      <c r="AD16" s="643"/>
      <c r="AE16" s="628"/>
      <c r="AF16" s="643"/>
      <c r="AG16" s="628"/>
      <c r="AH16" s="643"/>
      <c r="AI16" s="628"/>
      <c r="AJ16" s="643"/>
      <c r="AK16" s="628"/>
      <c r="AL16" s="643"/>
      <c r="AM16" s="628"/>
      <c r="AN16" s="643"/>
      <c r="AO16" s="628"/>
      <c r="AP16" s="643"/>
      <c r="AQ16" s="628"/>
      <c r="AR16" s="643"/>
      <c r="AS16" s="628"/>
      <c r="AT16" s="666"/>
      <c r="AU16" s="628"/>
      <c r="AV16" s="643"/>
      <c r="AW16" s="628"/>
      <c r="AZ16" s="101">
        <v>8</v>
      </c>
      <c r="BA16" s="469" t="s">
        <v>379</v>
      </c>
      <c r="BB16" s="84" t="s">
        <v>360</v>
      </c>
      <c r="BC16" s="270" t="s">
        <v>97</v>
      </c>
      <c r="BD16" s="648"/>
      <c r="BE16" s="82" t="str">
        <f t="shared" si="12"/>
        <v>N/A</v>
      </c>
      <c r="BF16" s="648"/>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N/A</v>
      </c>
      <c r="BP16" s="85"/>
      <c r="BQ16" s="85" t="str">
        <f t="shared" si="1"/>
        <v>N/A</v>
      </c>
      <c r="BR16" s="85"/>
      <c r="BS16" s="85" t="str">
        <f t="shared" si="2"/>
        <v>N/A</v>
      </c>
      <c r="BT16" s="85"/>
      <c r="BU16" s="85" t="str">
        <f t="shared" si="3"/>
        <v>N/A</v>
      </c>
      <c r="BV16" s="85"/>
      <c r="BW16" s="85" t="str">
        <f t="shared" si="4"/>
        <v>N/A</v>
      </c>
      <c r="BX16" s="85"/>
      <c r="BY16" s="85" t="str">
        <f t="shared" si="5"/>
        <v>N/A</v>
      </c>
      <c r="BZ16" s="85"/>
      <c r="CA16" s="85" t="str">
        <f t="shared" si="6"/>
        <v>N/A</v>
      </c>
      <c r="CB16" s="85"/>
      <c r="CC16" s="85" t="str">
        <f t="shared" si="7"/>
        <v>N/A</v>
      </c>
      <c r="CD16" s="85"/>
      <c r="CE16" s="85" t="str">
        <f t="shared" si="8"/>
        <v>N/A</v>
      </c>
      <c r="CF16" s="85"/>
      <c r="CG16" s="85" t="str">
        <f t="shared" si="9"/>
        <v>N/A</v>
      </c>
      <c r="CH16" s="85"/>
      <c r="CI16" s="85" t="str">
        <f t="shared" si="10"/>
        <v>N/A</v>
      </c>
      <c r="CJ16" s="85"/>
      <c r="CK16" s="85" t="str">
        <f t="shared" si="11"/>
        <v>N/A</v>
      </c>
      <c r="CL16" s="85"/>
      <c r="CM16" s="85" t="str">
        <f t="shared" si="13"/>
        <v>N/A</v>
      </c>
      <c r="CN16" s="85"/>
      <c r="CO16" s="85" t="str">
        <f>IF(OR(ISBLANK(AP16),ISBLANK(AR16)),"N/A",IF(ABS((AR16-AP16)/AP16)&gt;0.25,"&gt; 25%","ok"))</f>
        <v>N/A</v>
      </c>
      <c r="CP16" s="85"/>
      <c r="CQ16" s="85" t="str">
        <f>IF(OR(ISBLANK(AR16),ISBLANK(AV16)),"N/A",IF(ABS((AV16-AR16)/AR16)&gt;0.25,"&gt; 25%","ok"))</f>
        <v>N/A</v>
      </c>
      <c r="CR16" s="85"/>
      <c r="CS16" s="85" t="str">
        <f>IF(OR(ISBLANK(AV16),ISBLANK(#REF!)),"N/A",IF(ABS((#REF!-AV16)/AV16)&gt;0.25,"&gt; 25%","ok"))</f>
        <v>N/A</v>
      </c>
    </row>
    <row r="17" spans="2:97"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661"/>
      <c r="AZ17" s="270"/>
      <c r="BA17" s="470" t="s">
        <v>565</v>
      </c>
      <c r="BB17" s="270"/>
      <c r="BC17" s="270" t="s">
        <v>97</v>
      </c>
      <c r="BD17" s="648"/>
      <c r="BE17" s="82"/>
      <c r="BF17" s="648"/>
      <c r="BG17" s="471"/>
      <c r="BH17" s="648"/>
      <c r="BI17" s="471"/>
      <c r="BJ17" s="648"/>
      <c r="BK17" s="471"/>
      <c r="BL17" s="648"/>
      <c r="BM17" s="471"/>
      <c r="BN17" s="648"/>
      <c r="BO17" s="471"/>
      <c r="BP17" s="648"/>
      <c r="BQ17" s="471"/>
      <c r="BR17" s="648"/>
      <c r="BS17" s="270"/>
      <c r="BT17" s="648"/>
      <c r="BU17" s="270"/>
      <c r="BV17" s="648"/>
      <c r="BW17" s="270"/>
      <c r="BX17" s="648"/>
      <c r="BY17" s="270"/>
      <c r="BZ17" s="648"/>
      <c r="CA17" s="270"/>
      <c r="CB17" s="648"/>
      <c r="CC17" s="270"/>
      <c r="CD17" s="648"/>
      <c r="CE17" s="471"/>
      <c r="CF17" s="648"/>
      <c r="CG17" s="270"/>
      <c r="CH17" s="648"/>
      <c r="CI17" s="270"/>
      <c r="CJ17" s="648"/>
      <c r="CK17" s="270"/>
      <c r="CL17" s="648"/>
      <c r="CM17" s="85"/>
      <c r="CN17" s="648"/>
      <c r="CO17" s="270"/>
      <c r="CP17" s="648"/>
      <c r="CQ17" s="270"/>
      <c r="CR17" s="648"/>
      <c r="CS17" s="85"/>
    </row>
    <row r="18" spans="1:97" s="472" customFormat="1" ht="27" customHeight="1">
      <c r="A18" s="399"/>
      <c r="B18" s="247">
        <v>277</v>
      </c>
      <c r="C18" s="384">
        <v>9</v>
      </c>
      <c r="D18" s="264" t="s">
        <v>20</v>
      </c>
      <c r="E18" s="256" t="s">
        <v>321</v>
      </c>
      <c r="F18" s="641"/>
      <c r="G18" s="623"/>
      <c r="H18" s="641"/>
      <c r="I18" s="623"/>
      <c r="J18" s="641"/>
      <c r="K18" s="623"/>
      <c r="L18" s="641"/>
      <c r="M18" s="623"/>
      <c r="N18" s="623"/>
      <c r="O18" s="623"/>
      <c r="P18" s="641"/>
      <c r="Q18" s="623"/>
      <c r="R18" s="641"/>
      <c r="S18" s="623"/>
      <c r="T18" s="641"/>
      <c r="U18" s="623"/>
      <c r="V18" s="641"/>
      <c r="W18" s="623"/>
      <c r="X18" s="641"/>
      <c r="Y18" s="623"/>
      <c r="Z18" s="641"/>
      <c r="AA18" s="623"/>
      <c r="AB18" s="641"/>
      <c r="AC18" s="623"/>
      <c r="AD18" s="641"/>
      <c r="AE18" s="623"/>
      <c r="AF18" s="641"/>
      <c r="AG18" s="623"/>
      <c r="AH18" s="641"/>
      <c r="AI18" s="623"/>
      <c r="AJ18" s="641"/>
      <c r="AK18" s="623"/>
      <c r="AL18" s="641"/>
      <c r="AM18" s="623"/>
      <c r="AN18" s="641"/>
      <c r="AO18" s="623"/>
      <c r="AP18" s="641"/>
      <c r="AQ18" s="623"/>
      <c r="AR18" s="641"/>
      <c r="AS18" s="623"/>
      <c r="AT18" s="641"/>
      <c r="AU18" s="623"/>
      <c r="AV18" s="641"/>
      <c r="AW18" s="623"/>
      <c r="AY18" s="398"/>
      <c r="AZ18" s="388">
        <v>9</v>
      </c>
      <c r="BA18" s="267" t="s">
        <v>20</v>
      </c>
      <c r="BB18" s="388" t="s">
        <v>321</v>
      </c>
      <c r="BC18" s="84" t="s">
        <v>97</v>
      </c>
      <c r="BD18" s="647"/>
      <c r="BE18" s="85" t="str">
        <f>IF(OR(ISBLANK(F18),ISBLANK(H18)),"N/A",IF(ABS(H18-F18)&gt;25,"&gt; 25%","ok"))</f>
        <v>N/A</v>
      </c>
      <c r="BF18" s="647"/>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7"/>
      <c r="CO18" s="85" t="str">
        <f>IF(OR(ISBLANK(AP18),ISBLANK(AR18)),"N/A",IF(ABS(AR18-AP18)&gt;25,"&gt; 25%","ok"))</f>
        <v>N/A</v>
      </c>
      <c r="CP18" s="85"/>
      <c r="CQ18" s="85" t="str">
        <f>IF(OR(ISBLANK(AR18),ISBLANK(AT18)),"N/A",IF(ABS(AT18-AR18)&gt;25,"&gt; 25%","ok"))</f>
        <v>N/A</v>
      </c>
      <c r="CR18" s="85"/>
      <c r="CS18" s="85" t="str">
        <f t="shared" si="14"/>
        <v>N/A</v>
      </c>
    </row>
    <row r="19" spans="1:97"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c r="AA19" s="623"/>
      <c r="AB19" s="641"/>
      <c r="AC19" s="623"/>
      <c r="AD19" s="641"/>
      <c r="AE19" s="623"/>
      <c r="AF19" s="641"/>
      <c r="AG19" s="623"/>
      <c r="AH19" s="641"/>
      <c r="AI19" s="623"/>
      <c r="AJ19" s="641"/>
      <c r="AK19" s="623"/>
      <c r="AL19" s="641"/>
      <c r="AM19" s="623"/>
      <c r="AN19" s="641"/>
      <c r="AO19" s="623"/>
      <c r="AP19" s="641"/>
      <c r="AQ19" s="623"/>
      <c r="AR19" s="641"/>
      <c r="AS19" s="623"/>
      <c r="AT19" s="641"/>
      <c r="AU19" s="623"/>
      <c r="AV19" s="641"/>
      <c r="AW19" s="623"/>
      <c r="AY19" s="398"/>
      <c r="AZ19" s="84">
        <v>10</v>
      </c>
      <c r="BA19" s="258" t="s">
        <v>572</v>
      </c>
      <c r="BB19" s="84" t="s">
        <v>321</v>
      </c>
      <c r="BC19" s="84" t="s">
        <v>97</v>
      </c>
      <c r="BD19" s="647"/>
      <c r="BE19" s="85" t="str">
        <f>IF(OR(ISBLANK(F19),ISBLANK(H19)),"N/A",IF(ABS(H19-F19)&gt;25,"&gt; 25%","ok"))</f>
        <v>N/A</v>
      </c>
      <c r="BF19" s="647"/>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N/A</v>
      </c>
      <c r="BZ19" s="85"/>
      <c r="CA19" s="85" t="str">
        <f>IF(OR(ISBLANK(AB19),ISBLANK(AD19)),"N/A",IF(ABS(AD19-AB19)&gt;25,"&gt; 25%","ok"))</f>
        <v>N/A</v>
      </c>
      <c r="CB19" s="85"/>
      <c r="CC19" s="85" t="str">
        <f>IF(OR(ISBLANK(AD19),ISBLANK(AF19)),"N/A",IF(ABS(AF19-AD19)&gt;25,"&gt; 25%","ok"))</f>
        <v>N/A</v>
      </c>
      <c r="CD19" s="85"/>
      <c r="CE19" s="85" t="str">
        <f>IF(OR(ISBLANK(AF19),ISBLANK(AH19)),"N/A",IF(ABS(AH19-AF19)&gt;25,"&gt; 25%","ok"))</f>
        <v>N/A</v>
      </c>
      <c r="CF19" s="85"/>
      <c r="CG19" s="85" t="str">
        <f>IF(OR(ISBLANK(AH19),ISBLANK(AJ19)),"N/A",IF(ABS(AJ19-AH19)&gt;25,"&gt; 25%","ok"))</f>
        <v>N/A</v>
      </c>
      <c r="CH19" s="85"/>
      <c r="CI19" s="85" t="str">
        <f>IF(OR(ISBLANK(AJ19),ISBLANK(AL19)),"N/A",IF(ABS(AL19-AJ19)&gt;25,"&gt; 25%","ok"))</f>
        <v>N/A</v>
      </c>
      <c r="CJ19" s="85"/>
      <c r="CK19" s="85" t="str">
        <f>IF(OR(ISBLANK(AL19),ISBLANK(AN19)),"N/A",IF(ABS(AN19-AL19)&gt;25,"&gt; 25%","ok"))</f>
        <v>N/A</v>
      </c>
      <c r="CL19" s="85"/>
      <c r="CM19" s="85" t="str">
        <f t="shared" si="13"/>
        <v>N/A</v>
      </c>
      <c r="CN19" s="647"/>
      <c r="CO19" s="85" t="str">
        <f>IF(OR(ISBLANK(AP19),ISBLANK(AR19)),"N/A",IF(ABS(AR19-AP19)&gt;25,"&gt; 25%","ok"))</f>
        <v>N/A</v>
      </c>
      <c r="CP19" s="85"/>
      <c r="CQ19" s="85" t="str">
        <f>IF(OR(ISBLANK(AR19),ISBLANK(AT19)),"N/A",IF(ABS(AT19-AR19)&gt;25,"&gt; 25%","ok"))</f>
        <v>N/A</v>
      </c>
      <c r="CR19" s="85"/>
      <c r="CS19" s="85" t="str">
        <f t="shared" si="14"/>
        <v>N/A</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629"/>
      <c r="AY20" s="398"/>
      <c r="AZ20" s="99">
        <v>11</v>
      </c>
      <c r="BA20" s="473" t="s">
        <v>573</v>
      </c>
      <c r="BB20" s="99" t="s">
        <v>321</v>
      </c>
      <c r="BC20" s="99" t="s">
        <v>97</v>
      </c>
      <c r="BD20" s="650"/>
      <c r="BE20" s="83" t="str">
        <f>IF(OR(ISBLANK(F20),ISBLANK(H20)),"N/A",IF(ABS(H20-F20)&gt;25,"&gt; 25%","ok"))</f>
        <v>N/A</v>
      </c>
      <c r="BF20" s="650"/>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50"/>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row>
    <row r="23" spans="3:97" ht="17.25" customHeight="1">
      <c r="C23" s="288" t="s">
        <v>167</v>
      </c>
      <c r="D23" s="755" t="s">
        <v>143</v>
      </c>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476"/>
      <c r="AZ23" s="84">
        <v>3</v>
      </c>
      <c r="BA23" s="477" t="s">
        <v>21</v>
      </c>
      <c r="BB23" s="84" t="s">
        <v>360</v>
      </c>
      <c r="BC23" s="84">
        <f>F10</f>
        <v>0</v>
      </c>
      <c r="BD23" s="84"/>
      <c r="BE23" s="84">
        <f>H10</f>
        <v>0</v>
      </c>
      <c r="BF23" s="84"/>
      <c r="BG23" s="84">
        <f>J10</f>
        <v>0</v>
      </c>
      <c r="BH23" s="84"/>
      <c r="BI23" s="84">
        <f>L10</f>
        <v>0</v>
      </c>
      <c r="BJ23" s="84"/>
      <c r="BK23" s="84">
        <f>N10</f>
        <v>0</v>
      </c>
      <c r="BL23" s="84"/>
      <c r="BM23" s="84">
        <f>P10</f>
        <v>0</v>
      </c>
      <c r="BN23" s="84"/>
      <c r="BO23" s="84">
        <f>R10</f>
        <v>0</v>
      </c>
      <c r="BP23" s="84"/>
      <c r="BQ23" s="84">
        <f>T10</f>
        <v>0</v>
      </c>
      <c r="BR23" s="84"/>
      <c r="BS23" s="84">
        <f>V10</f>
        <v>0</v>
      </c>
      <c r="BT23" s="84"/>
      <c r="BU23" s="84">
        <f>X10</f>
        <v>0</v>
      </c>
      <c r="BV23" s="84"/>
      <c r="BW23" s="84">
        <f>Z10</f>
        <v>0</v>
      </c>
      <c r="BX23" s="84"/>
      <c r="BY23" s="84">
        <f>AB10</f>
        <v>0</v>
      </c>
      <c r="BZ23" s="84"/>
      <c r="CA23" s="84">
        <f>AD10</f>
        <v>0</v>
      </c>
      <c r="CB23" s="84"/>
      <c r="CC23" s="84">
        <f>AF10</f>
        <v>0</v>
      </c>
      <c r="CD23" s="84"/>
      <c r="CE23" s="84">
        <f>AH10</f>
        <v>0</v>
      </c>
      <c r="CF23" s="84"/>
      <c r="CG23" s="84">
        <f>AJ10</f>
        <v>0</v>
      </c>
      <c r="CH23" s="84"/>
      <c r="CI23" s="84">
        <f>AL10</f>
        <v>0</v>
      </c>
      <c r="CJ23" s="84"/>
      <c r="CK23" s="84">
        <f>AN10</f>
        <v>0</v>
      </c>
      <c r="CL23" s="84"/>
      <c r="CM23" s="84">
        <f>AP10</f>
        <v>0</v>
      </c>
      <c r="CN23" s="647"/>
      <c r="CO23" s="84">
        <f>AR10</f>
        <v>0</v>
      </c>
      <c r="CP23" s="84"/>
      <c r="CQ23" s="84">
        <f>AT10</f>
        <v>0</v>
      </c>
      <c r="CR23" s="84"/>
      <c r="CS23" s="84">
        <f>AV10</f>
        <v>0</v>
      </c>
    </row>
    <row r="24" spans="1:112" s="453" customFormat="1" ht="25.5" customHeight="1">
      <c r="A24" s="290"/>
      <c r="B24" s="290"/>
      <c r="C24" s="288" t="s">
        <v>167</v>
      </c>
      <c r="D24" s="769" t="s">
        <v>168</v>
      </c>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69"/>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v>
      </c>
      <c r="BN24" s="84"/>
      <c r="BO24" s="84">
        <f>R8-R9</f>
        <v>0</v>
      </c>
      <c r="BP24" s="84"/>
      <c r="BQ24" s="84">
        <f>T8-T9</f>
        <v>0</v>
      </c>
      <c r="BR24" s="84"/>
      <c r="BS24" s="84">
        <f>V8-V9</f>
        <v>0</v>
      </c>
      <c r="BT24" s="84"/>
      <c r="BU24" s="84">
        <f>X8-X9</f>
        <v>0</v>
      </c>
      <c r="BV24" s="84"/>
      <c r="BW24" s="84">
        <f>Z8-Z9</f>
        <v>0</v>
      </c>
      <c r="BX24" s="84"/>
      <c r="BY24" s="84">
        <f>AB8-AB9</f>
        <v>0</v>
      </c>
      <c r="BZ24" s="84"/>
      <c r="CA24" s="84">
        <f>AD8-AD9</f>
        <v>0</v>
      </c>
      <c r="CB24" s="84"/>
      <c r="CC24" s="84">
        <f>AF8-AF9</f>
        <v>0</v>
      </c>
      <c r="CD24" s="84"/>
      <c r="CE24" s="84">
        <f>AH8-AH9</f>
        <v>0</v>
      </c>
      <c r="CF24" s="84"/>
      <c r="CG24" s="84">
        <f>AJ8-AJ9</f>
        <v>0</v>
      </c>
      <c r="CH24" s="84"/>
      <c r="CI24" s="84">
        <f>AL8-AL9</f>
        <v>0</v>
      </c>
      <c r="CJ24" s="84"/>
      <c r="CK24" s="84">
        <f>AN8-AN9</f>
        <v>0</v>
      </c>
      <c r="CL24" s="84"/>
      <c r="CM24" s="84">
        <f>AP8-AP9</f>
        <v>0</v>
      </c>
      <c r="CN24" s="647"/>
      <c r="CO24" s="84">
        <f>AR8-AR9</f>
        <v>0</v>
      </c>
      <c r="CP24" s="84"/>
      <c r="CQ24" s="84">
        <f>AV8-AT9</f>
        <v>0</v>
      </c>
      <c r="CR24" s="84"/>
      <c r="CS24" s="84" t="e">
        <f>#REF!-AV9</f>
        <v>#REF!</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55" t="s">
        <v>310</v>
      </c>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N/A</v>
      </c>
      <c r="BN25" s="84"/>
      <c r="BO25" s="84" t="str">
        <f>IF(OR(ISBLANK(R8),ISBLANK(R9),ISBLANK(R10)),"N/A",IF((BO23=BO24),"ok","&lt;&gt;"))</f>
        <v>N/A</v>
      </c>
      <c r="BP25" s="84"/>
      <c r="BQ25" s="84" t="str">
        <f>IF(OR(ISBLANK(T8),ISBLANK(T9),ISBLANK(T10)),"N/A",IF((BQ23=BQ24),"ok","&lt;&gt;"))</f>
        <v>N/A</v>
      </c>
      <c r="BR25" s="84"/>
      <c r="BS25" s="84" t="str">
        <f>IF(OR(ISBLANK(V8),ISBLANK(V9),ISBLANK(V10)),"N/A",IF((BS23=BS24),"ok","&lt;&gt;"))</f>
        <v>N/A</v>
      </c>
      <c r="BT25" s="84"/>
      <c r="BU25" s="84" t="str">
        <f>IF(OR(ISBLANK(X8),ISBLANK(X9),ISBLANK(X10)),"N/A",IF((BU23=BU24),"ok","&lt;&gt;"))</f>
        <v>N/A</v>
      </c>
      <c r="BV25" s="84"/>
      <c r="BW25" s="84" t="str">
        <f>IF(OR(ISBLANK(Z8),ISBLANK(Z9),ISBLANK(Z10)),"N/A",IF((BW23=BW24),"ok","&lt;&gt;"))</f>
        <v>N/A</v>
      </c>
      <c r="BX25" s="84"/>
      <c r="BY25" s="84" t="str">
        <f>IF(OR(ISBLANK(AB8),ISBLANK(AB9),ISBLANK(AB10)),"N/A",IF((BY23=BY24),"ok","&lt;&gt;"))</f>
        <v>N/A</v>
      </c>
      <c r="BZ25" s="84"/>
      <c r="CA25" s="84" t="str">
        <f>IF(OR(ISBLANK(AD8),ISBLANK(AD9),ISBLANK(AD10)),"N/A",IF((CA23=CA24),"ok","&lt;&gt;"))</f>
        <v>N/A</v>
      </c>
      <c r="CB25" s="84"/>
      <c r="CC25" s="84" t="str">
        <f>IF(OR(ISBLANK(AF8),ISBLANK(AF9),ISBLANK(AF10)),"N/A",IF((CC23=CC24),"ok","&lt;&gt;"))</f>
        <v>N/A</v>
      </c>
      <c r="CD25" s="84"/>
      <c r="CE25" s="84" t="str">
        <f>IF(OR(ISBLANK(AH8),ISBLANK(AH9),ISBLANK(AH10)),"N/A",IF((CE23=CE24),"ok","&lt;&gt;"))</f>
        <v>N/A</v>
      </c>
      <c r="CF25" s="84"/>
      <c r="CG25" s="84" t="str">
        <f>IF(OR(ISBLANK(AJ8),ISBLANK(AJ9),ISBLANK(AJ10)),"N/A",IF((CG23=CG24),"ok","&lt;&gt;"))</f>
        <v>N/A</v>
      </c>
      <c r="CH25" s="84"/>
      <c r="CI25" s="84" t="str">
        <f>IF(OR(ISBLANK(AL8),ISBLANK(AL9),ISBLANK(AL10)),"N/A",IF((CI23=CI24),"ok","&lt;&gt;"))</f>
        <v>N/A</v>
      </c>
      <c r="CJ25" s="84"/>
      <c r="CK25" s="84" t="str">
        <f>IF(OR(ISBLANK(AN8),ISBLANK(AN9),ISBLANK(AN10)),"N/A",IF((CK23=CK24),"ok","&lt;&gt;"))</f>
        <v>N/A</v>
      </c>
      <c r="CL25" s="84"/>
      <c r="CM25" s="84" t="str">
        <f>IF(OR(ISBLANK(AP8),ISBLANK(AP9),ISBLANK(AP10)),"N/A",IF((CM23=CM24),"ok","&lt;&gt;"))</f>
        <v>N/A</v>
      </c>
      <c r="CN25" s="84"/>
      <c r="CO25" s="84" t="str">
        <f>IF(OR(ISBLANK(AR8),ISBLANK(AR9),ISBLANK(AR10)),"N/A",IF((CO23=CO24),"ok","&lt;&gt;"))</f>
        <v>N/A</v>
      </c>
      <c r="CP25" s="84"/>
      <c r="CQ25" s="84" t="str">
        <f>IF(OR(ISBLANK(AV8),ISBLANK(AT9),ISBLANK(AT10)),"N/A",IF((CQ23=CQ24),"ok","&lt;&gt;"))</f>
        <v>N/A</v>
      </c>
      <c r="CR25" s="84"/>
      <c r="CS25" s="84" t="str">
        <f>IF(OR(ISBLANK(#REF!),ISBLANK(AV9),ISBLANK(AV10)),"N/A",IF((CS23=CS24),"ok","&lt;&gt;"))</f>
        <v>N/A</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55" t="s">
        <v>129</v>
      </c>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v>
      </c>
      <c r="BN26" s="84"/>
      <c r="BO26" s="84">
        <f>SUM(R12:R16)</f>
        <v>0</v>
      </c>
      <c r="BP26" s="84"/>
      <c r="BQ26" s="84">
        <f>SUM(T12:T16)</f>
        <v>0</v>
      </c>
      <c r="BR26" s="84"/>
      <c r="BS26" s="84">
        <f>SUM(V12:V16)</f>
        <v>0</v>
      </c>
      <c r="BT26" s="84"/>
      <c r="BU26" s="84">
        <f>SUM(X12:X16)</f>
        <v>0</v>
      </c>
      <c r="BV26" s="84"/>
      <c r="BW26" s="84">
        <f>SUM(Z12:Z16)</f>
        <v>0</v>
      </c>
      <c r="BX26" s="84"/>
      <c r="BY26" s="84">
        <f>SUM(AB12:AB16)</f>
        <v>0</v>
      </c>
      <c r="BZ26" s="84"/>
      <c r="CA26" s="84">
        <f>SUM(AD12:AD16)</f>
        <v>0</v>
      </c>
      <c r="CB26" s="84"/>
      <c r="CC26" s="84">
        <f>SUM(AF12:AF16)</f>
        <v>0</v>
      </c>
      <c r="CD26" s="84"/>
      <c r="CE26" s="84">
        <f>SUM(AH12:AH16)</f>
        <v>0</v>
      </c>
      <c r="CF26" s="84"/>
      <c r="CG26" s="84">
        <f>SUM(AJ12:AJ16)</f>
        <v>0</v>
      </c>
      <c r="CH26" s="84"/>
      <c r="CI26" s="84">
        <f>SUM(AL12:AL16)</f>
        <v>0</v>
      </c>
      <c r="CJ26" s="84"/>
      <c r="CK26" s="84">
        <f>SUM(AN12:AN16)</f>
        <v>0</v>
      </c>
      <c r="CL26" s="84"/>
      <c r="CM26" s="84">
        <f>SUM(AP12:AP16)</f>
        <v>0</v>
      </c>
      <c r="CN26" s="84"/>
      <c r="CO26" s="84">
        <f>SUM(AR12:AR16)</f>
        <v>0</v>
      </c>
      <c r="CP26" s="84"/>
      <c r="CQ26" s="84">
        <f>SUM(AT12:AT16)</f>
        <v>0</v>
      </c>
      <c r="CR26" s="84"/>
      <c r="CS26" s="84">
        <f>SUM(AV12:AV16)</f>
        <v>0</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59" t="s">
        <v>596</v>
      </c>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N/A</v>
      </c>
      <c r="BN27" s="84"/>
      <c r="BO27" s="84" t="str">
        <f>IF(OR(ISBLANK(R12),ISBLANK(R13),ISBLANK(R14),ISBLANK(R15),ISBLANK(R16),ISBLANK(R10)),"N/A",IF((BO23=BO26),"ok","&lt;&gt;"))</f>
        <v>N/A</v>
      </c>
      <c r="BP27" s="84"/>
      <c r="BQ27" s="84" t="str">
        <f>IF(OR(ISBLANK(T12),ISBLANK(T13),ISBLANK(T14),ISBLANK(T15),ISBLANK(T16),ISBLANK(T10)),"N/A",IF((BQ23=BQ26),"ok","&lt;&gt;"))</f>
        <v>N/A</v>
      </c>
      <c r="BR27" s="84"/>
      <c r="BS27" s="84" t="str">
        <f>IF(OR(ISBLANK(V12),ISBLANK(V13),ISBLANK(V14),ISBLANK(V15),ISBLANK(V16),ISBLANK(V10)),"N/A",IF((BS23=BS26),"ok","&lt;&gt;"))</f>
        <v>N/A</v>
      </c>
      <c r="BT27" s="84"/>
      <c r="BU27" s="84" t="str">
        <f>IF(OR(ISBLANK(X12),ISBLANK(X13),ISBLANK(X14),ISBLANK(X15),ISBLANK(X16),ISBLANK(X10)),"N/A",IF((BU23=BU26),"ok","&lt;&gt;"))</f>
        <v>N/A</v>
      </c>
      <c r="BV27" s="84"/>
      <c r="BW27" s="84" t="str">
        <f>IF(OR(ISBLANK(Z12),ISBLANK(Z13),ISBLANK(Z14),ISBLANK(Z15),ISBLANK(Z16),ISBLANK(Z10)),"N/A",IF((BW23=BW26),"ok","&lt;&gt;"))</f>
        <v>N/A</v>
      </c>
      <c r="BX27" s="84"/>
      <c r="BY27" s="84" t="str">
        <f>IF(OR(ISBLANK(AB12),ISBLANK(AB13),ISBLANK(AB14),ISBLANK(AB15),ISBLANK(AB16),ISBLANK(AB10)),"N/A",IF((BY23=BY26),"ok","&lt;&gt;"))</f>
        <v>N/A</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IF(OR(ISBLANK(AT12),ISBLANK(AT13),ISBLANK(AT14),ISBLANK(AT15),ISBLANK(AV16),ISBLANK(AT10)),"N/A",IF((CQ23=CQ26),"ok","&lt;&gt;"))</f>
        <v>N/A</v>
      </c>
      <c r="CR27" s="84"/>
      <c r="CS27" s="84" t="str">
        <f>IF(OR(ISBLANK(AV12),ISBLANK(AV13),ISBLANK(AV14),ISBLANK(AV15),ISBLANK(#REF!),ISBLANK(AV10)),"N/A",IF((CS23=CS26),"ok","&lt;&gt;"))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23" t="str">
        <f>D12&amp;" (W3,4)"</f>
        <v>Households (W3,4)</v>
      </c>
      <c r="AM28" s="824"/>
      <c r="AN28" s="824"/>
      <c r="AO28" s="824"/>
      <c r="AP28" s="824"/>
      <c r="AQ28" s="824"/>
      <c r="AR28" s="824"/>
      <c r="AS28" s="824"/>
      <c r="AT28" s="824"/>
      <c r="AU28" s="825"/>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N/A</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6" t="str">
        <f>D8&amp;" (W3, 1)"</f>
        <v>Gross freshwater supplied by water supply industry (ISIC 36) (W3, 1)</v>
      </c>
      <c r="F30" s="835"/>
      <c r="G30" s="835"/>
      <c r="H30" s="835"/>
      <c r="I30" s="835"/>
      <c r="J30" s="835"/>
      <c r="K30" s="835"/>
      <c r="L30" s="835"/>
      <c r="M30" s="835"/>
      <c r="N30" s="835"/>
      <c r="O30" s="835"/>
      <c r="P30" s="835"/>
      <c r="Q30" s="835"/>
      <c r="R30" s="835"/>
      <c r="S30" s="835"/>
      <c r="T30" s="835"/>
      <c r="U30" s="835"/>
      <c r="V30" s="835"/>
      <c r="W30" s="835"/>
      <c r="X30" s="835"/>
      <c r="Y30" s="835"/>
      <c r="Z30" s="836"/>
      <c r="AA30" s="301"/>
      <c r="AB30" s="300"/>
      <c r="AC30" s="300"/>
      <c r="AD30" s="826" t="str">
        <f>LEFT(D10,LEN(D10)-21)&amp;" (W3,3)"</f>
        <v>Net freshwater supplied by water supply industry (ISIC 36) (W3,3)</v>
      </c>
      <c r="AE30" s="827"/>
      <c r="AF30" s="828"/>
      <c r="AG30" s="487"/>
      <c r="AH30" s="843" t="str">
        <f>D11</f>
        <v>of which supplied to:</v>
      </c>
      <c r="AI30" s="843"/>
      <c r="AJ30" s="298"/>
      <c r="AK30" s="298"/>
      <c r="AL30" s="823" t="str">
        <f>D13&amp;" (W3,5)"</f>
        <v>Agriculture, forestry and fishing (ISIC 01-03) (W3,5)</v>
      </c>
      <c r="AM30" s="824"/>
      <c r="AN30" s="824"/>
      <c r="AO30" s="824"/>
      <c r="AP30" s="824"/>
      <c r="AQ30" s="824"/>
      <c r="AR30" s="824"/>
      <c r="AS30" s="824"/>
      <c r="AT30" s="824"/>
      <c r="AU30" s="825"/>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37"/>
      <c r="F31" s="838"/>
      <c r="G31" s="838"/>
      <c r="H31" s="838"/>
      <c r="I31" s="838"/>
      <c r="J31" s="838"/>
      <c r="K31" s="838"/>
      <c r="L31" s="838"/>
      <c r="M31" s="838"/>
      <c r="N31" s="838"/>
      <c r="O31" s="838"/>
      <c r="P31" s="838"/>
      <c r="Q31" s="838"/>
      <c r="R31" s="838"/>
      <c r="S31" s="838"/>
      <c r="T31" s="838"/>
      <c r="U31" s="838"/>
      <c r="V31" s="838"/>
      <c r="W31" s="838"/>
      <c r="X31" s="838"/>
      <c r="Y31" s="838"/>
      <c r="Z31" s="839"/>
      <c r="AA31" s="301"/>
      <c r="AB31" s="300"/>
      <c r="AC31" s="300"/>
      <c r="AD31" s="829"/>
      <c r="AE31" s="830"/>
      <c r="AF31" s="831"/>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40"/>
      <c r="F32" s="841"/>
      <c r="G32" s="841"/>
      <c r="H32" s="841"/>
      <c r="I32" s="841"/>
      <c r="J32" s="841"/>
      <c r="K32" s="841"/>
      <c r="L32" s="841"/>
      <c r="M32" s="841"/>
      <c r="N32" s="841"/>
      <c r="O32" s="841"/>
      <c r="P32" s="841"/>
      <c r="Q32" s="841"/>
      <c r="R32" s="841"/>
      <c r="S32" s="841"/>
      <c r="T32" s="841"/>
      <c r="U32" s="841"/>
      <c r="V32" s="841"/>
      <c r="W32" s="841"/>
      <c r="X32" s="841"/>
      <c r="Y32" s="841"/>
      <c r="Z32" s="842"/>
      <c r="AA32" s="301"/>
      <c r="AB32" s="300"/>
      <c r="AC32" s="300"/>
      <c r="AD32" s="832"/>
      <c r="AE32" s="833"/>
      <c r="AF32" s="834"/>
      <c r="AG32" s="298"/>
      <c r="AH32" s="298"/>
      <c r="AI32" s="298"/>
      <c r="AJ32" s="298"/>
      <c r="AK32" s="298"/>
      <c r="AL32" s="823" t="str">
        <f>D14&amp;" (W3,6)"</f>
        <v>Manufacturing (ISIC 10-33) (W3,6)</v>
      </c>
      <c r="AM32" s="824"/>
      <c r="AN32" s="824"/>
      <c r="AO32" s="824"/>
      <c r="AP32" s="824"/>
      <c r="AQ32" s="824"/>
      <c r="AR32" s="824"/>
      <c r="AS32" s="824"/>
      <c r="AT32" s="824"/>
      <c r="AU32" s="825"/>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23" t="str">
        <f>D15&amp;" (W3,7)"</f>
        <v>Electricity industry (ISIC 351) (W3,7)</v>
      </c>
      <c r="AM34" s="824"/>
      <c r="AN34" s="824"/>
      <c r="AO34" s="824"/>
      <c r="AP34" s="824"/>
      <c r="AQ34" s="824"/>
      <c r="AR34" s="824"/>
      <c r="AS34" s="824"/>
      <c r="AT34" s="824"/>
      <c r="AU34" s="825"/>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6" t="str">
        <f>D9&amp;" (W3, 2)"</f>
        <v>Losses during transport by ISIC 36 (W3, 2)</v>
      </c>
      <c r="AA35" s="844"/>
      <c r="AB35" s="844"/>
      <c r="AC35" s="844"/>
      <c r="AD35" s="844"/>
      <c r="AE35" s="845"/>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46"/>
      <c r="AA36" s="847"/>
      <c r="AB36" s="847"/>
      <c r="AC36" s="847"/>
      <c r="AD36" s="847"/>
      <c r="AE36" s="848"/>
      <c r="AF36" s="301"/>
      <c r="AG36" s="298"/>
      <c r="AH36" s="298"/>
      <c r="AI36" s="298"/>
      <c r="AJ36" s="298"/>
      <c r="AK36" s="298"/>
      <c r="AL36" s="823" t="str">
        <f>D16&amp;" (W3,8)"</f>
        <v>Other economic activities (W3,8)</v>
      </c>
      <c r="AM36" s="824"/>
      <c r="AN36" s="824"/>
      <c r="AO36" s="824"/>
      <c r="AP36" s="824"/>
      <c r="AQ36" s="824"/>
      <c r="AR36" s="824"/>
      <c r="AS36" s="824"/>
      <c r="AT36" s="824"/>
      <c r="AU36" s="825"/>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3:52" ht="36" customHeight="1">
      <c r="C41" s="569"/>
      <c r="D41" s="770" t="s">
        <v>602</v>
      </c>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2"/>
      <c r="AY41" s="496"/>
      <c r="AZ41" s="493"/>
    </row>
    <row r="42" spans="3:52" ht="18" customHeight="1">
      <c r="C42" s="663"/>
      <c r="D42" s="743"/>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5"/>
      <c r="AY42" s="496"/>
      <c r="AZ42" s="493"/>
    </row>
    <row r="43" spans="3:52" ht="18" customHeight="1">
      <c r="C43" s="569"/>
      <c r="D43" s="743"/>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45"/>
      <c r="AY43" s="496"/>
      <c r="AZ43" s="493"/>
    </row>
    <row r="44" spans="3:52" ht="18" customHeight="1">
      <c r="C44" s="569"/>
      <c r="D44" s="743"/>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44"/>
      <c r="AW44" s="744"/>
      <c r="AX44" s="745"/>
      <c r="AY44" s="496"/>
      <c r="AZ44" s="493"/>
    </row>
    <row r="45" spans="3:52" ht="18" customHeight="1">
      <c r="C45" s="569"/>
      <c r="D45" s="743"/>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744"/>
      <c r="AR45" s="744"/>
      <c r="AS45" s="744"/>
      <c r="AT45" s="744"/>
      <c r="AU45" s="744"/>
      <c r="AV45" s="744"/>
      <c r="AW45" s="744"/>
      <c r="AX45" s="745"/>
      <c r="AY45" s="496"/>
      <c r="AZ45" s="493"/>
    </row>
    <row r="46" spans="3:52" ht="18" customHeight="1">
      <c r="C46" s="569"/>
      <c r="D46" s="743"/>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5"/>
      <c r="AY46" s="496"/>
      <c r="AZ46" s="493"/>
    </row>
    <row r="47" spans="3:52" ht="18" customHeight="1">
      <c r="C47" s="569"/>
      <c r="D47" s="743"/>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5"/>
      <c r="AY47" s="496"/>
      <c r="AZ47" s="493"/>
    </row>
    <row r="48" spans="3:52" ht="18" customHeight="1">
      <c r="C48" s="569"/>
      <c r="D48" s="743"/>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5"/>
      <c r="AY48" s="496"/>
      <c r="AZ48" s="493"/>
    </row>
    <row r="49" spans="3:97" ht="18" customHeight="1">
      <c r="C49" s="569"/>
      <c r="D49" s="743"/>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c r="AP49" s="744"/>
      <c r="AQ49" s="744"/>
      <c r="AR49" s="744"/>
      <c r="AS49" s="744"/>
      <c r="AT49" s="744"/>
      <c r="AU49" s="744"/>
      <c r="AV49" s="744"/>
      <c r="AW49" s="744"/>
      <c r="AX49" s="745"/>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43"/>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5"/>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43"/>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43"/>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5"/>
      <c r="AY52" s="496"/>
    </row>
    <row r="53" spans="3:51" ht="18" customHeight="1">
      <c r="C53" s="569"/>
      <c r="D53" s="743"/>
      <c r="E53" s="744"/>
      <c r="F53" s="744"/>
      <c r="G53" s="744"/>
      <c r="H53" s="744"/>
      <c r="I53" s="744"/>
      <c r="J53" s="744"/>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4"/>
      <c r="AO53" s="744"/>
      <c r="AP53" s="744"/>
      <c r="AQ53" s="744"/>
      <c r="AR53" s="744"/>
      <c r="AS53" s="744"/>
      <c r="AT53" s="744"/>
      <c r="AU53" s="744"/>
      <c r="AV53" s="744"/>
      <c r="AW53" s="744"/>
      <c r="AX53" s="745"/>
      <c r="AY53" s="496"/>
    </row>
    <row r="54" spans="3:51" ht="18" customHeight="1">
      <c r="C54" s="569"/>
      <c r="D54" s="743"/>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5"/>
      <c r="AY54" s="496"/>
    </row>
    <row r="55" spans="3:51" ht="18" customHeight="1">
      <c r="C55" s="569"/>
      <c r="D55" s="743"/>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5"/>
      <c r="AY55" s="496"/>
    </row>
    <row r="56" spans="3:51" ht="18" customHeight="1">
      <c r="C56" s="569"/>
      <c r="D56" s="743"/>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4"/>
      <c r="AO56" s="744"/>
      <c r="AP56" s="744"/>
      <c r="AQ56" s="744"/>
      <c r="AR56" s="744"/>
      <c r="AS56" s="744"/>
      <c r="AT56" s="744"/>
      <c r="AU56" s="744"/>
      <c r="AV56" s="744"/>
      <c r="AW56" s="744"/>
      <c r="AX56" s="745"/>
      <c r="AY56" s="496"/>
    </row>
    <row r="57" spans="3:51" ht="18" customHeight="1">
      <c r="C57" s="569"/>
      <c r="D57" s="743"/>
      <c r="E57" s="744"/>
      <c r="F57" s="744"/>
      <c r="G57" s="744"/>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c r="AI57" s="744"/>
      <c r="AJ57" s="744"/>
      <c r="AK57" s="744"/>
      <c r="AL57" s="744"/>
      <c r="AM57" s="744"/>
      <c r="AN57" s="744"/>
      <c r="AO57" s="744"/>
      <c r="AP57" s="744"/>
      <c r="AQ57" s="744"/>
      <c r="AR57" s="744"/>
      <c r="AS57" s="744"/>
      <c r="AT57" s="744"/>
      <c r="AU57" s="744"/>
      <c r="AV57" s="744"/>
      <c r="AW57" s="744"/>
      <c r="AX57" s="745"/>
      <c r="AY57" s="496"/>
    </row>
    <row r="58" spans="3:51" ht="18" customHeight="1">
      <c r="C58" s="569"/>
      <c r="D58" s="743"/>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M58" s="744"/>
      <c r="AN58" s="744"/>
      <c r="AO58" s="744"/>
      <c r="AP58" s="744"/>
      <c r="AQ58" s="744"/>
      <c r="AR58" s="744"/>
      <c r="AS58" s="744"/>
      <c r="AT58" s="744"/>
      <c r="AU58" s="744"/>
      <c r="AV58" s="744"/>
      <c r="AW58" s="744"/>
      <c r="AX58" s="745"/>
      <c r="AY58" s="496"/>
    </row>
    <row r="59" spans="3:51" ht="18" customHeight="1">
      <c r="C59" s="569"/>
      <c r="D59" s="743"/>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c r="AI59" s="744"/>
      <c r="AJ59" s="744"/>
      <c r="AK59" s="744"/>
      <c r="AL59" s="744"/>
      <c r="AM59" s="744"/>
      <c r="AN59" s="744"/>
      <c r="AO59" s="744"/>
      <c r="AP59" s="744"/>
      <c r="AQ59" s="744"/>
      <c r="AR59" s="744"/>
      <c r="AS59" s="744"/>
      <c r="AT59" s="744"/>
      <c r="AU59" s="744"/>
      <c r="AV59" s="744"/>
      <c r="AW59" s="744"/>
      <c r="AX59" s="745"/>
      <c r="AY59" s="496"/>
    </row>
    <row r="60" spans="3:51" ht="18" customHeight="1">
      <c r="C60" s="569"/>
      <c r="D60" s="743"/>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744"/>
      <c r="AL60" s="744"/>
      <c r="AM60" s="744"/>
      <c r="AN60" s="744"/>
      <c r="AO60" s="744"/>
      <c r="AP60" s="744"/>
      <c r="AQ60" s="744"/>
      <c r="AR60" s="744"/>
      <c r="AS60" s="744"/>
      <c r="AT60" s="744"/>
      <c r="AU60" s="744"/>
      <c r="AV60" s="744"/>
      <c r="AW60" s="744"/>
      <c r="AX60" s="745"/>
      <c r="AY60" s="496"/>
    </row>
    <row r="61" spans="3:51" ht="18" customHeight="1">
      <c r="C61" s="620"/>
      <c r="D61" s="743"/>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44"/>
      <c r="AL61" s="744"/>
      <c r="AM61" s="744"/>
      <c r="AN61" s="744"/>
      <c r="AO61" s="744"/>
      <c r="AP61" s="744"/>
      <c r="AQ61" s="744"/>
      <c r="AR61" s="744"/>
      <c r="AS61" s="744"/>
      <c r="AT61" s="744"/>
      <c r="AU61" s="744"/>
      <c r="AV61" s="744"/>
      <c r="AW61" s="744"/>
      <c r="AX61" s="745"/>
      <c r="AY61" s="496"/>
    </row>
    <row r="62" spans="3:51" ht="18" customHeight="1">
      <c r="C62" s="618"/>
      <c r="D62" s="748"/>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50"/>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sheet="1" formatCells="0" formatColumns="0" formatRows="0" insertColumns="0" insertRows="0" insertHyperlinks="0"/>
  <mergeCells count="39">
    <mergeCell ref="BM3:BO3"/>
    <mergeCell ref="D24:AX24"/>
    <mergeCell ref="D26:AX26"/>
    <mergeCell ref="C5:AN5"/>
    <mergeCell ref="D25:AU25"/>
    <mergeCell ref="D23:AX23"/>
    <mergeCell ref="BG3:BI3"/>
    <mergeCell ref="D62:AX62"/>
    <mergeCell ref="D58:AX58"/>
    <mergeCell ref="D59:AX59"/>
    <mergeCell ref="D60:AX60"/>
    <mergeCell ref="D61:AX61"/>
    <mergeCell ref="D27:AX27"/>
    <mergeCell ref="D48:AX48"/>
    <mergeCell ref="D49:AX49"/>
    <mergeCell ref="D56:AX56"/>
    <mergeCell ref="D57:AX57"/>
    <mergeCell ref="D50:AX50"/>
    <mergeCell ref="D51:AX51"/>
    <mergeCell ref="D52:AX52"/>
    <mergeCell ref="D53:AX53"/>
    <mergeCell ref="D54:AX54"/>
    <mergeCell ref="D55:AX55"/>
    <mergeCell ref="D44:AX44"/>
    <mergeCell ref="D41:AX41"/>
    <mergeCell ref="D46:AX46"/>
    <mergeCell ref="D47:AX47"/>
    <mergeCell ref="AH30:AI30"/>
    <mergeCell ref="Z35:AE36"/>
    <mergeCell ref="AL28:AU28"/>
    <mergeCell ref="AL30:AU30"/>
    <mergeCell ref="AL32:AU32"/>
    <mergeCell ref="D45:AX45"/>
    <mergeCell ref="D42:AX42"/>
    <mergeCell ref="AL34:AU34"/>
    <mergeCell ref="AL36:AU36"/>
    <mergeCell ref="AD30:AF32"/>
    <mergeCell ref="E30:Z32"/>
    <mergeCell ref="D43:AX43"/>
  </mergeCells>
  <conditionalFormatting sqref="BU31:BX31">
    <cfRule type="cellIs" priority="178" dxfId="286" operator="greaterThan" stopIfTrue="1">
      <formula>BU29</formula>
    </cfRule>
  </conditionalFormatting>
  <conditionalFormatting sqref="BU29:CS29">
    <cfRule type="cellIs" priority="185" dxfId="286" operator="greaterThan" stopIfTrue="1">
      <formula>BU24</formula>
    </cfRule>
  </conditionalFormatting>
  <conditionalFormatting sqref="F10">
    <cfRule type="cellIs" priority="46" dxfId="286" operator="lessThan" stopIfTrue="1">
      <formula>F8-F9-(0.01*(F8-F9))</formula>
    </cfRule>
    <cfRule type="cellIs" priority="47" dxfId="286" operator="lessThan" stopIfTrue="1">
      <formula>F12+F13+F14+F15+F16-(0.01*(F12+F13+F14+F15+F16))</formula>
    </cfRule>
  </conditionalFormatting>
  <conditionalFormatting sqref="H10">
    <cfRule type="cellIs" priority="44" dxfId="286" operator="lessThan" stopIfTrue="1">
      <formula>H8-H9-(0.01*(H8-H9))</formula>
    </cfRule>
    <cfRule type="cellIs" priority="45" dxfId="286" operator="lessThan" stopIfTrue="1">
      <formula>H12+H13+H14+H15+H16-(0.01*(H12+H13+H14+H15+H16))</formula>
    </cfRule>
  </conditionalFormatting>
  <conditionalFormatting sqref="J10">
    <cfRule type="cellIs" priority="42" dxfId="286" operator="lessThan" stopIfTrue="1">
      <formula>J8-J9-(0.01*(J8-J9))</formula>
    </cfRule>
    <cfRule type="cellIs" priority="43" dxfId="286" operator="lessThan" stopIfTrue="1">
      <formula>J12+J13+J14+J15+J16-(0.01*(J12+J13+J14+J15+J16))</formula>
    </cfRule>
  </conditionalFormatting>
  <conditionalFormatting sqref="L10">
    <cfRule type="cellIs" priority="40" dxfId="286" operator="lessThan" stopIfTrue="1">
      <formula>L8-L9-(0.01*(L8-L9))</formula>
    </cfRule>
    <cfRule type="cellIs" priority="41" dxfId="286" operator="lessThan" stopIfTrue="1">
      <formula>L12+L13+L14+L15+L16-(0.01*(L12+L13+L14+L15+L16))</formula>
    </cfRule>
  </conditionalFormatting>
  <conditionalFormatting sqref="N10">
    <cfRule type="cellIs" priority="38" dxfId="286" operator="lessThan" stopIfTrue="1">
      <formula>N8-N9-(0.01*(N8-N9))</formula>
    </cfRule>
    <cfRule type="cellIs" priority="39" dxfId="286" operator="lessThan" stopIfTrue="1">
      <formula>N12+N13+N14+N15+N16-(0.01*(N12+N13+N14+N15+N16))</formula>
    </cfRule>
  </conditionalFormatting>
  <conditionalFormatting sqref="P10">
    <cfRule type="cellIs" priority="36" dxfId="286" operator="lessThan" stopIfTrue="1">
      <formula>P8-P9-(0.01*(P8-P9))</formula>
    </cfRule>
    <cfRule type="cellIs" priority="37" dxfId="286" operator="lessThan" stopIfTrue="1">
      <formula>P12+P13+P14+P15+P16-(0.01*(P12+P13+P14+P15+P16))</formula>
    </cfRule>
  </conditionalFormatting>
  <conditionalFormatting sqref="R10">
    <cfRule type="cellIs" priority="34" dxfId="286" operator="lessThan" stopIfTrue="1">
      <formula>R8-R9-(0.01*(R8-R9))</formula>
    </cfRule>
    <cfRule type="cellIs" priority="35" dxfId="286" operator="lessThan" stopIfTrue="1">
      <formula>R12+R13+R14+R15+R16-(0.01*(R12+R13+R14+R15+R16))</formula>
    </cfRule>
  </conditionalFormatting>
  <conditionalFormatting sqref="T10">
    <cfRule type="cellIs" priority="32" dxfId="286" operator="lessThan" stopIfTrue="1">
      <formula>T8-T9-(0.01*(T8-T9))</formula>
    </cfRule>
    <cfRule type="cellIs" priority="33" dxfId="286" operator="lessThan" stopIfTrue="1">
      <formula>T12+T13+T14+T15+T16-(0.01*(T12+T13+T14+T15+T16))</formula>
    </cfRule>
  </conditionalFormatting>
  <conditionalFormatting sqref="V10">
    <cfRule type="cellIs" priority="30" dxfId="286" operator="lessThan" stopIfTrue="1">
      <formula>V8-V9-(0.01*(V8-V9))</formula>
    </cfRule>
    <cfRule type="cellIs" priority="31" dxfId="286" operator="lessThan" stopIfTrue="1">
      <formula>V12+V13+V14+V15+V16-(0.01*(V12+V13+V14+V15+V16))</formula>
    </cfRule>
  </conditionalFormatting>
  <conditionalFormatting sqref="X10">
    <cfRule type="cellIs" priority="28" dxfId="286" operator="lessThan" stopIfTrue="1">
      <formula>X8-X9-(0.01*(X8-X9))</formula>
    </cfRule>
    <cfRule type="cellIs" priority="29" dxfId="286" operator="lessThan" stopIfTrue="1">
      <formula>X12+X13+X14+X15+X16-(0.01*(X12+X13+X14+X15+X16))</formula>
    </cfRule>
  </conditionalFormatting>
  <conditionalFormatting sqref="Z10">
    <cfRule type="cellIs" priority="26" dxfId="286" operator="lessThan" stopIfTrue="1">
      <formula>Z8-Z9-(0.01*(Z8-Z9))</formula>
    </cfRule>
    <cfRule type="cellIs" priority="27" dxfId="286" operator="lessThan" stopIfTrue="1">
      <formula>Z12+Z13+Z14+Z15+Z16-(0.01*(Z12+Z13+Z14+Z15+Z16))</formula>
    </cfRule>
  </conditionalFormatting>
  <conditionalFormatting sqref="AB10">
    <cfRule type="cellIs" priority="24" dxfId="286" operator="lessThan" stopIfTrue="1">
      <formula>AB8-AB9-(0.01*(AB8-AB9))</formula>
    </cfRule>
    <cfRule type="cellIs" priority="25" dxfId="286" operator="lessThan" stopIfTrue="1">
      <formula>AB12+AB13+AB14+AB15+AB16-(0.01*(AB12+AB13+AB14+AB15+AB16))</formula>
    </cfRule>
  </conditionalFormatting>
  <conditionalFormatting sqref="AD10">
    <cfRule type="cellIs" priority="22" dxfId="286" operator="lessThan" stopIfTrue="1">
      <formula>AD8-AD9-(0.01*(AD8-AD9))</formula>
    </cfRule>
    <cfRule type="cellIs" priority="23" dxfId="286" operator="lessThan" stopIfTrue="1">
      <formula>AD12+AD13+AD14+AD15+AD16-(0.01*(AD12+AD13+AD14+AD15+AD16))</formula>
    </cfRule>
  </conditionalFormatting>
  <conditionalFormatting sqref="AF10">
    <cfRule type="cellIs" priority="20" dxfId="286" operator="lessThan" stopIfTrue="1">
      <formula>AF8-AF9-(0.01*(AF8-AF9))</formula>
    </cfRule>
    <cfRule type="cellIs" priority="21" dxfId="286" operator="lessThan" stopIfTrue="1">
      <formula>AF12+AF13+AF14+AF15+AF16-(0.01*(AF12+AF13+AF14+AF15+AF16))</formula>
    </cfRule>
  </conditionalFormatting>
  <conditionalFormatting sqref="AH10">
    <cfRule type="cellIs" priority="18" dxfId="286" operator="lessThan" stopIfTrue="1">
      <formula>AH8-AH9-(0.01*(AH8-AH9))</formula>
    </cfRule>
    <cfRule type="cellIs" priority="19" dxfId="286" operator="lessThan" stopIfTrue="1">
      <formula>AH12+AH13+AH14+AH15+AH16-(0.01*(AH12+AH13+AH14+AH15+AH16))</formula>
    </cfRule>
  </conditionalFormatting>
  <conditionalFormatting sqref="AJ10">
    <cfRule type="cellIs" priority="16" dxfId="286" operator="lessThan" stopIfTrue="1">
      <formula>AJ8-AJ9-(0.01*(AJ8-AJ9))</formula>
    </cfRule>
    <cfRule type="cellIs" priority="17" dxfId="286" operator="lessThan" stopIfTrue="1">
      <formula>AJ12+AJ13+AJ14+AJ15+AJ16-(0.01*(AJ12+AJ13+AJ14+AJ15+AJ16))</formula>
    </cfRule>
  </conditionalFormatting>
  <conditionalFormatting sqref="AL10">
    <cfRule type="cellIs" priority="14" dxfId="286" operator="lessThan" stopIfTrue="1">
      <formula>AL8-AL9-(0.01*(AL8-AL9))</formula>
    </cfRule>
    <cfRule type="cellIs" priority="15" dxfId="286" operator="lessThan" stopIfTrue="1">
      <formula>AL12+AL13+AL14+AL15+AL16-(0.01*(AL12+AL13+AL14+AL15+AL16))</formula>
    </cfRule>
  </conditionalFormatting>
  <conditionalFormatting sqref="AN10">
    <cfRule type="cellIs" priority="12" dxfId="286" operator="lessThan" stopIfTrue="1">
      <formula>AN8-AN9-(0.01*(AN8-AN9))</formula>
    </cfRule>
    <cfRule type="cellIs" priority="13" dxfId="286" operator="lessThan" stopIfTrue="1">
      <formula>AN12+AN13+AN14+AN15+AN16-(0.01*(AN12+AN13+AN14+AN15+AN16))</formula>
    </cfRule>
  </conditionalFormatting>
  <conditionalFormatting sqref="AP10">
    <cfRule type="cellIs" priority="10" dxfId="286" operator="lessThan" stopIfTrue="1">
      <formula>AP8-AP9-(0.01*(AP8-AP9))</formula>
    </cfRule>
    <cfRule type="cellIs" priority="11" dxfId="286" operator="lessThan" stopIfTrue="1">
      <formula>AP12+AP13+AP14+AP15+AP16-(0.01*(AP12+AP13+AP14+AP15+AP16))</formula>
    </cfRule>
  </conditionalFormatting>
  <conditionalFormatting sqref="AR10">
    <cfRule type="cellIs" priority="8" dxfId="286" operator="lessThan" stopIfTrue="1">
      <formula>AR8-AR9-(0.01*(AR8-AR9))</formula>
    </cfRule>
    <cfRule type="cellIs" priority="9" dxfId="286" operator="lessThan" stopIfTrue="1">
      <formula>AR12+AR13+AR14+AR15+AR16-(0.01*(AR12+AR13+AR14+AR15+AR16))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286"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286" operator="equal" stopIfTrue="1">
      <formula>"&gt; 25%"</formula>
    </cfRule>
  </conditionalFormatting>
  <conditionalFormatting sqref="BE8:BE10 BE12:BE16">
    <cfRule type="cellIs" priority="3" dxfId="286" operator="equal" stopIfTrue="1">
      <formula>"&gt; 100%"</formula>
    </cfRule>
  </conditionalFormatting>
  <conditionalFormatting sqref="AT10">
    <cfRule type="cellIs" priority="356" dxfId="286" operator="lessThan" stopIfTrue="1">
      <formula>AV8-AT9-(0.01*(AV8-AT9))</formula>
    </cfRule>
    <cfRule type="cellIs" priority="357" dxfId="286" operator="lessThan" stopIfTrue="1">
      <formula>AT12+AT13+AT14+AT15+AV16-(0.01*(AT12+AT13+AT14+AT15+AV16))</formula>
    </cfRule>
  </conditionalFormatting>
  <conditionalFormatting sqref="AV10">
    <cfRule type="cellIs" priority="358" dxfId="286" operator="lessThan" stopIfTrue="1">
      <formula>'W3'!#REF!-AV9-(0.01*('W3'!#REF!-AV9))</formula>
    </cfRule>
    <cfRule type="cellIs" priority="359" dxfId="286" operator="lessThan" stopIfTrue="1">
      <formula>AV12+AV13+AV14+AV15+'W3'!#REF!-(0.01*(AV12+AV13+AV14+AV15+'W3'!#REF!))</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v>520</v>
      </c>
      <c r="C3" s="349" t="s">
        <v>358</v>
      </c>
      <c r="D3" s="32" t="s">
        <v>185</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t="s">
        <v>604</v>
      </c>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812" t="s">
        <v>245</v>
      </c>
      <c r="D5" s="812"/>
      <c r="E5" s="850"/>
      <c r="F5" s="850"/>
      <c r="G5" s="850"/>
      <c r="H5" s="850"/>
      <c r="I5" s="814"/>
      <c r="J5" s="814"/>
      <c r="K5" s="814"/>
      <c r="L5" s="814"/>
      <c r="M5" s="814"/>
      <c r="N5" s="814"/>
      <c r="O5" s="814"/>
      <c r="P5" s="814"/>
      <c r="Q5" s="814"/>
      <c r="R5" s="814"/>
      <c r="S5" s="814"/>
      <c r="T5" s="814"/>
      <c r="U5" s="814"/>
      <c r="V5" s="814"/>
      <c r="W5" s="814"/>
      <c r="X5" s="850"/>
      <c r="Y5" s="814"/>
      <c r="Z5" s="850"/>
      <c r="AA5" s="814"/>
      <c r="AB5" s="850"/>
      <c r="AC5" s="814"/>
      <c r="AD5" s="850"/>
      <c r="AE5" s="814"/>
      <c r="AF5" s="850"/>
      <c r="AG5" s="814"/>
      <c r="AH5" s="850"/>
      <c r="AI5" s="814"/>
      <c r="AJ5" s="814"/>
      <c r="AK5" s="814"/>
      <c r="AL5" s="850"/>
      <c r="AM5" s="814"/>
      <c r="AN5" s="850"/>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24"/>
      <c r="AV11" s="642"/>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24"/>
      <c r="AV13" s="642"/>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42"/>
      <c r="AS14" s="624"/>
      <c r="AT14" s="642"/>
      <c r="AU14" s="624"/>
      <c r="AV14" s="642"/>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42"/>
      <c r="AS15" s="624"/>
      <c r="AT15" s="642"/>
      <c r="AU15" s="624"/>
      <c r="AV15" s="642"/>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42"/>
      <c r="AS16" s="624"/>
      <c r="AT16" s="642"/>
      <c r="AU16" s="624"/>
      <c r="AV16" s="642"/>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24"/>
      <c r="AV17" s="642"/>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24"/>
      <c r="AV18" s="642"/>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24"/>
      <c r="AV19" s="642"/>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24"/>
      <c r="AV20" s="642"/>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24"/>
      <c r="AV21" s="642"/>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24"/>
      <c r="AV22" s="642"/>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625"/>
      <c r="AV23" s="644"/>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626"/>
      <c r="AV24" s="645"/>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55" t="s">
        <v>313</v>
      </c>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c r="AW27" s="755"/>
      <c r="AX27" s="755"/>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69" t="s">
        <v>168</v>
      </c>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69"/>
      <c r="AT28" s="769"/>
      <c r="AU28" s="769"/>
      <c r="AV28" s="769"/>
      <c r="AW28" s="769"/>
      <c r="AX28" s="769"/>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55" t="s">
        <v>129</v>
      </c>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59" t="s">
        <v>596</v>
      </c>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51" t="str">
        <f>D14&amp;" (W4,7)"</f>
        <v>Wastewater treated in urban wastewater treatment plants (W4,7)</v>
      </c>
      <c r="AN31" s="852"/>
      <c r="AO31" s="852"/>
      <c r="AP31" s="852"/>
      <c r="AQ31" s="852"/>
      <c r="AR31" s="852"/>
      <c r="AS31" s="852"/>
      <c r="AT31" s="853"/>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54" t="str">
        <f>D8&amp;" (W4,1)"</f>
        <v>Total wastewater generated (W4,1)</v>
      </c>
      <c r="AA33" s="844"/>
      <c r="AB33" s="844"/>
      <c r="AC33" s="844"/>
      <c r="AD33" s="844"/>
      <c r="AE33" s="844"/>
      <c r="AF33" s="844"/>
      <c r="AG33" s="845"/>
      <c r="AH33" s="291"/>
      <c r="AI33" s="527"/>
      <c r="AJ33" s="527"/>
      <c r="AK33" s="527"/>
      <c r="AL33" s="527"/>
      <c r="AM33" s="851" t="str">
        <f>D18&amp;" (W4,11)"</f>
        <v>Wastewater treated in other treatment plants (W4,11)</v>
      </c>
      <c r="AN33" s="852"/>
      <c r="AO33" s="852"/>
      <c r="AP33" s="852"/>
      <c r="AQ33" s="852"/>
      <c r="AR33" s="852"/>
      <c r="AS33" s="852"/>
      <c r="AT33" s="853"/>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55"/>
      <c r="AA34" s="856"/>
      <c r="AB34" s="856"/>
      <c r="AC34" s="856"/>
      <c r="AD34" s="856"/>
      <c r="AE34" s="856"/>
      <c r="AF34" s="856"/>
      <c r="AG34" s="857"/>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55"/>
      <c r="AA35" s="856"/>
      <c r="AB35" s="856"/>
      <c r="AC35" s="856"/>
      <c r="AD35" s="856"/>
      <c r="AE35" s="856"/>
      <c r="AF35" s="856"/>
      <c r="AG35" s="857"/>
      <c r="AH35" s="291"/>
      <c r="AI35" s="304"/>
      <c r="AJ35" s="430"/>
      <c r="AK35" s="430"/>
      <c r="AL35" s="430"/>
      <c r="AM35" s="851" t="str">
        <f>D22&amp;" (W4,15)"</f>
        <v>Wastewater treated in independent treatment facilities (W4,15)</v>
      </c>
      <c r="AN35" s="852"/>
      <c r="AO35" s="852"/>
      <c r="AP35" s="852"/>
      <c r="AQ35" s="852"/>
      <c r="AR35" s="852"/>
      <c r="AS35" s="852"/>
      <c r="AT35" s="853"/>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46"/>
      <c r="AA36" s="847"/>
      <c r="AB36" s="847"/>
      <c r="AC36" s="847"/>
      <c r="AD36" s="847"/>
      <c r="AE36" s="847"/>
      <c r="AF36" s="847"/>
      <c r="AG36" s="848"/>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51" t="str">
        <f>D23&amp;" (W4,16)"</f>
        <v>Non-treated wastewater (W4,16)</v>
      </c>
      <c r="AN37" s="852"/>
      <c r="AO37" s="852"/>
      <c r="AP37" s="852"/>
      <c r="AQ37" s="852"/>
      <c r="AR37" s="852"/>
      <c r="AS37" s="852"/>
      <c r="AT37" s="853"/>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2"/>
      <c r="CO40" s="534"/>
      <c r="CP40" s="662"/>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47.25" customHeight="1">
      <c r="A44" s="189"/>
      <c r="B44" s="190"/>
      <c r="C44" s="569"/>
      <c r="D44" s="770" t="s">
        <v>605</v>
      </c>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2"/>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43"/>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744"/>
      <c r="AR45" s="744"/>
      <c r="AS45" s="744"/>
      <c r="AT45" s="744"/>
      <c r="AU45" s="744"/>
      <c r="AV45" s="744"/>
      <c r="AW45" s="744"/>
      <c r="AX45" s="745"/>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43"/>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5"/>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43"/>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5"/>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43"/>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5"/>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43"/>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c r="AP49" s="744"/>
      <c r="AQ49" s="744"/>
      <c r="AR49" s="744"/>
      <c r="AS49" s="744"/>
      <c r="AT49" s="744"/>
      <c r="AU49" s="744"/>
      <c r="AV49" s="744"/>
      <c r="AW49" s="744"/>
      <c r="AX49" s="745"/>
    </row>
    <row r="50" spans="3:50" ht="18" customHeight="1">
      <c r="C50" s="569"/>
      <c r="D50" s="743"/>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5"/>
    </row>
    <row r="51" spans="3:50" ht="18" customHeight="1">
      <c r="C51" s="569"/>
      <c r="D51" s="743"/>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3:50" ht="18" customHeight="1">
      <c r="C52" s="569"/>
      <c r="D52" s="743"/>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5"/>
    </row>
    <row r="53" spans="3:50" ht="18" customHeight="1">
      <c r="C53" s="569"/>
      <c r="D53" s="743"/>
      <c r="E53" s="744"/>
      <c r="F53" s="744"/>
      <c r="G53" s="744"/>
      <c r="H53" s="744"/>
      <c r="I53" s="744"/>
      <c r="J53" s="744"/>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4"/>
      <c r="AO53" s="744"/>
      <c r="AP53" s="744"/>
      <c r="AQ53" s="744"/>
      <c r="AR53" s="744"/>
      <c r="AS53" s="744"/>
      <c r="AT53" s="744"/>
      <c r="AU53" s="744"/>
      <c r="AV53" s="744"/>
      <c r="AW53" s="744"/>
      <c r="AX53" s="745"/>
    </row>
    <row r="54" spans="3:50" ht="18" customHeight="1">
      <c r="C54" s="569"/>
      <c r="D54" s="743"/>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5"/>
    </row>
    <row r="55" spans="3:50" ht="18" customHeight="1">
      <c r="C55" s="569"/>
      <c r="D55" s="743"/>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5"/>
    </row>
    <row r="56" spans="3:50" ht="18" customHeight="1">
      <c r="C56" s="569"/>
      <c r="D56" s="743"/>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4"/>
      <c r="AO56" s="744"/>
      <c r="AP56" s="744"/>
      <c r="AQ56" s="744"/>
      <c r="AR56" s="744"/>
      <c r="AS56" s="744"/>
      <c r="AT56" s="744"/>
      <c r="AU56" s="744"/>
      <c r="AV56" s="744"/>
      <c r="AW56" s="744"/>
      <c r="AX56" s="745"/>
    </row>
    <row r="57" spans="3:50" ht="18" customHeight="1">
      <c r="C57" s="569"/>
      <c r="D57" s="743"/>
      <c r="E57" s="744"/>
      <c r="F57" s="744"/>
      <c r="G57" s="744"/>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c r="AI57" s="744"/>
      <c r="AJ57" s="744"/>
      <c r="AK57" s="744"/>
      <c r="AL57" s="744"/>
      <c r="AM57" s="744"/>
      <c r="AN57" s="744"/>
      <c r="AO57" s="744"/>
      <c r="AP57" s="744"/>
      <c r="AQ57" s="744"/>
      <c r="AR57" s="744"/>
      <c r="AS57" s="744"/>
      <c r="AT57" s="744"/>
      <c r="AU57" s="744"/>
      <c r="AV57" s="744"/>
      <c r="AW57" s="744"/>
      <c r="AX57" s="745"/>
    </row>
    <row r="58" spans="3:50" ht="18" customHeight="1">
      <c r="C58" s="569"/>
      <c r="D58" s="743"/>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M58" s="744"/>
      <c r="AN58" s="744"/>
      <c r="AO58" s="744"/>
      <c r="AP58" s="744"/>
      <c r="AQ58" s="744"/>
      <c r="AR58" s="744"/>
      <c r="AS58" s="744"/>
      <c r="AT58" s="744"/>
      <c r="AU58" s="744"/>
      <c r="AV58" s="744"/>
      <c r="AW58" s="744"/>
      <c r="AX58" s="745"/>
    </row>
    <row r="59" spans="3:50" ht="18" customHeight="1">
      <c r="C59" s="569"/>
      <c r="D59" s="743"/>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c r="AI59" s="744"/>
      <c r="AJ59" s="744"/>
      <c r="AK59" s="744"/>
      <c r="AL59" s="744"/>
      <c r="AM59" s="744"/>
      <c r="AN59" s="744"/>
      <c r="AO59" s="744"/>
      <c r="AP59" s="744"/>
      <c r="AQ59" s="744"/>
      <c r="AR59" s="744"/>
      <c r="AS59" s="744"/>
      <c r="AT59" s="744"/>
      <c r="AU59" s="744"/>
      <c r="AV59" s="744"/>
      <c r="AW59" s="744"/>
      <c r="AX59" s="745"/>
    </row>
    <row r="60" spans="3:50" ht="18" customHeight="1">
      <c r="C60" s="569"/>
      <c r="D60" s="743"/>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744"/>
      <c r="AL60" s="744"/>
      <c r="AM60" s="744"/>
      <c r="AN60" s="744"/>
      <c r="AO60" s="744"/>
      <c r="AP60" s="744"/>
      <c r="AQ60" s="744"/>
      <c r="AR60" s="744"/>
      <c r="AS60" s="744"/>
      <c r="AT60" s="744"/>
      <c r="AU60" s="744"/>
      <c r="AV60" s="744"/>
      <c r="AW60" s="744"/>
      <c r="AX60" s="745"/>
    </row>
    <row r="61" spans="3:50" ht="18" customHeight="1">
      <c r="C61" s="569"/>
      <c r="D61" s="743"/>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44"/>
      <c r="AL61" s="744"/>
      <c r="AM61" s="744"/>
      <c r="AN61" s="744"/>
      <c r="AO61" s="744"/>
      <c r="AP61" s="744"/>
      <c r="AQ61" s="744"/>
      <c r="AR61" s="744"/>
      <c r="AS61" s="744"/>
      <c r="AT61" s="744"/>
      <c r="AU61" s="744"/>
      <c r="AV61" s="744"/>
      <c r="AW61" s="744"/>
      <c r="AX61" s="745"/>
    </row>
    <row r="62" spans="3:50" ht="18" customHeight="1">
      <c r="C62" s="569"/>
      <c r="D62" s="743"/>
      <c r="E62" s="744"/>
      <c r="F62" s="744"/>
      <c r="G62" s="744"/>
      <c r="H62" s="744"/>
      <c r="I62" s="744"/>
      <c r="J62" s="744"/>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c r="AI62" s="744"/>
      <c r="AJ62" s="744"/>
      <c r="AK62" s="744"/>
      <c r="AL62" s="744"/>
      <c r="AM62" s="744"/>
      <c r="AN62" s="744"/>
      <c r="AO62" s="744"/>
      <c r="AP62" s="744"/>
      <c r="AQ62" s="744"/>
      <c r="AR62" s="744"/>
      <c r="AS62" s="744"/>
      <c r="AT62" s="744"/>
      <c r="AU62" s="744"/>
      <c r="AV62" s="744"/>
      <c r="AW62" s="744"/>
      <c r="AX62" s="745"/>
    </row>
    <row r="63" spans="3:50" ht="18" customHeight="1">
      <c r="C63" s="569"/>
      <c r="D63" s="743"/>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5"/>
    </row>
    <row r="64" spans="3:50" ht="18" customHeight="1">
      <c r="C64" s="620"/>
      <c r="D64" s="743"/>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row>
    <row r="65" spans="3:50" ht="18" customHeight="1">
      <c r="C65" s="618"/>
      <c r="D65" s="748"/>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50"/>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48:AX48"/>
    <mergeCell ref="D30:AX30"/>
    <mergeCell ref="AM31:AT31"/>
    <mergeCell ref="D45:AX45"/>
    <mergeCell ref="D44:AX44"/>
    <mergeCell ref="Z33:AG36"/>
    <mergeCell ref="D55:AX55"/>
    <mergeCell ref="D56:AX56"/>
    <mergeCell ref="D57:AX57"/>
    <mergeCell ref="D51:AX51"/>
    <mergeCell ref="D53:AX53"/>
    <mergeCell ref="D52:AX52"/>
    <mergeCell ref="C5:AN5"/>
    <mergeCell ref="D27:AX27"/>
    <mergeCell ref="D46:AX46"/>
    <mergeCell ref="D47:AX47"/>
    <mergeCell ref="D29:AX29"/>
    <mergeCell ref="D49:AX49"/>
    <mergeCell ref="AM35:AT35"/>
    <mergeCell ref="AM37:AT37"/>
    <mergeCell ref="D28:AX28"/>
    <mergeCell ref="AM33:AT33"/>
    <mergeCell ref="D50:AX50"/>
    <mergeCell ref="D65:AX65"/>
    <mergeCell ref="D58:AX58"/>
    <mergeCell ref="D59:AX59"/>
    <mergeCell ref="D60:AX60"/>
    <mergeCell ref="D61:AX61"/>
    <mergeCell ref="D63:AX63"/>
    <mergeCell ref="D64:AX64"/>
    <mergeCell ref="D62:AX62"/>
    <mergeCell ref="D54:AX54"/>
  </mergeCells>
  <conditionalFormatting sqref="BC39:BF39 BC33:BF33 BC44:BF44 BM44:CS44 BM33:CS33 BM39:CS39">
    <cfRule type="cellIs" priority="83" dxfId="286" operator="equal" stopIfTrue="1">
      <formula>"&lt;&gt;"</formula>
    </cfRule>
  </conditionalFormatting>
  <conditionalFormatting sqref="BG44:BL44 BG33:BL33 BG39:BL39">
    <cfRule type="cellIs" priority="79" dxfId="286" operator="equal" stopIfTrue="1">
      <formula>"&lt;&gt;"</formula>
    </cfRule>
  </conditionalFormatting>
  <conditionalFormatting sqref="F8">
    <cfRule type="cellIs" priority="76" dxfId="287" operator="lessThan" stopIfTrue="1">
      <formula>0.99*(F9+F10+F11+F12+F13)</formula>
    </cfRule>
  </conditionalFormatting>
  <conditionalFormatting sqref="F14">
    <cfRule type="cellIs" priority="75" dxfId="287" operator="lessThan" stopIfTrue="1">
      <formula>0.99*(F15+F16+F17)</formula>
    </cfRule>
  </conditionalFormatting>
  <conditionalFormatting sqref="F18">
    <cfRule type="cellIs" priority="74" dxfId="287" operator="lessThan" stopIfTrue="1">
      <formula>0.99*(F19+F20+F21)</formula>
    </cfRule>
  </conditionalFormatting>
  <conditionalFormatting sqref="H8">
    <cfRule type="cellIs" priority="73" dxfId="287" operator="lessThan" stopIfTrue="1">
      <formula>0.99*(H9+H10+H11+H12+H13)</formula>
    </cfRule>
  </conditionalFormatting>
  <conditionalFormatting sqref="H14">
    <cfRule type="cellIs" priority="72" dxfId="287" operator="lessThan" stopIfTrue="1">
      <formula>0.99*(H15+H16+H17)</formula>
    </cfRule>
  </conditionalFormatting>
  <conditionalFormatting sqref="H18">
    <cfRule type="cellIs" priority="71" dxfId="287" operator="lessThan" stopIfTrue="1">
      <formula>0.99*(H19+H20+H21)</formula>
    </cfRule>
  </conditionalFormatting>
  <conditionalFormatting sqref="J8">
    <cfRule type="cellIs" priority="70" dxfId="287" operator="lessThan" stopIfTrue="1">
      <formula>0.99*(J9+J10+J11+J12+J13)</formula>
    </cfRule>
  </conditionalFormatting>
  <conditionalFormatting sqref="J14">
    <cfRule type="cellIs" priority="69" dxfId="287" operator="lessThan" stopIfTrue="1">
      <formula>0.99*(J15+J16+J17)</formula>
    </cfRule>
  </conditionalFormatting>
  <conditionalFormatting sqref="J18">
    <cfRule type="cellIs" priority="68" dxfId="287" operator="lessThan" stopIfTrue="1">
      <formula>0.99*(J19+J20+J21)</formula>
    </cfRule>
  </conditionalFormatting>
  <conditionalFormatting sqref="L8">
    <cfRule type="cellIs" priority="67" dxfId="287" operator="lessThan" stopIfTrue="1">
      <formula>0.99*(L9+L10+L11+L12+L13)</formula>
    </cfRule>
  </conditionalFormatting>
  <conditionalFormatting sqref="L14">
    <cfRule type="cellIs" priority="66" dxfId="287" operator="lessThan" stopIfTrue="1">
      <formula>0.99*(L15+L16+L17)</formula>
    </cfRule>
  </conditionalFormatting>
  <conditionalFormatting sqref="L18">
    <cfRule type="cellIs" priority="65" dxfId="287" operator="lessThan" stopIfTrue="1">
      <formula>0.99*(L19+L20+L21)</formula>
    </cfRule>
  </conditionalFormatting>
  <conditionalFormatting sqref="N8">
    <cfRule type="cellIs" priority="64" dxfId="287" operator="lessThan" stopIfTrue="1">
      <formula>0.99*(N9+N10+N11+N12+N13)</formula>
    </cfRule>
  </conditionalFormatting>
  <conditionalFormatting sqref="N14">
    <cfRule type="cellIs" priority="63" dxfId="287" operator="lessThan" stopIfTrue="1">
      <formula>0.99*(N15+N16+N17)</formula>
    </cfRule>
  </conditionalFormatting>
  <conditionalFormatting sqref="N18">
    <cfRule type="cellIs" priority="62" dxfId="287" operator="lessThan" stopIfTrue="1">
      <formula>0.99*(N19+N20+N21)</formula>
    </cfRule>
  </conditionalFormatting>
  <conditionalFormatting sqref="P8">
    <cfRule type="cellIs" priority="61" dxfId="287" operator="lessThan" stopIfTrue="1">
      <formula>0.99*(P9+P10+P11+P12+P13)</formula>
    </cfRule>
  </conditionalFormatting>
  <conditionalFormatting sqref="P14">
    <cfRule type="cellIs" priority="60" dxfId="287" operator="lessThan" stopIfTrue="1">
      <formula>0.99*(P15+P16+P17)</formula>
    </cfRule>
  </conditionalFormatting>
  <conditionalFormatting sqref="P18">
    <cfRule type="cellIs" priority="59" dxfId="287" operator="lessThan" stopIfTrue="1">
      <formula>0.99*(P19+P20+P21)</formula>
    </cfRule>
  </conditionalFormatting>
  <conditionalFormatting sqref="R8">
    <cfRule type="cellIs" priority="58" dxfId="287" operator="lessThan" stopIfTrue="1">
      <formula>0.99*(R9+R10+R11+R12+R13)</formula>
    </cfRule>
  </conditionalFormatting>
  <conditionalFormatting sqref="R14">
    <cfRule type="cellIs" priority="57" dxfId="287" operator="lessThan" stopIfTrue="1">
      <formula>0.99*(R15+R16+R17)</formula>
    </cfRule>
  </conditionalFormatting>
  <conditionalFormatting sqref="R18">
    <cfRule type="cellIs" priority="56" dxfId="287" operator="lessThan" stopIfTrue="1">
      <formula>0.99*(R19+R20+R21)</formula>
    </cfRule>
  </conditionalFormatting>
  <conditionalFormatting sqref="T8">
    <cfRule type="cellIs" priority="55" dxfId="287" operator="lessThan" stopIfTrue="1">
      <formula>0.99*(T9+T10+T11+T12+T13)</formula>
    </cfRule>
  </conditionalFormatting>
  <conditionalFormatting sqref="T14">
    <cfRule type="cellIs" priority="54" dxfId="287" operator="lessThan" stopIfTrue="1">
      <formula>0.99*(T15+T16+T17)</formula>
    </cfRule>
  </conditionalFormatting>
  <conditionalFormatting sqref="T18">
    <cfRule type="cellIs" priority="53" dxfId="287" operator="lessThan" stopIfTrue="1">
      <formula>0.99*(T19+T20+T21)</formula>
    </cfRule>
  </conditionalFormatting>
  <conditionalFormatting sqref="V8">
    <cfRule type="cellIs" priority="52" dxfId="287" operator="lessThan" stopIfTrue="1">
      <formula>0.99*(V9+V10+V11+V12+V13)</formula>
    </cfRule>
  </conditionalFormatting>
  <conditionalFormatting sqref="V14">
    <cfRule type="cellIs" priority="51" dxfId="287" operator="lessThan" stopIfTrue="1">
      <formula>0.99*(V15+V16+V17)</formula>
    </cfRule>
  </conditionalFormatting>
  <conditionalFormatting sqref="V18">
    <cfRule type="cellIs" priority="50" dxfId="287" operator="lessThan" stopIfTrue="1">
      <formula>0.99*(V19+V20+V21)</formula>
    </cfRule>
  </conditionalFormatting>
  <conditionalFormatting sqref="X8">
    <cfRule type="cellIs" priority="49" dxfId="287" operator="lessThan" stopIfTrue="1">
      <formula>0.99*(X9+X10+X11+X12+X13)</formula>
    </cfRule>
  </conditionalFormatting>
  <conditionalFormatting sqref="X14">
    <cfRule type="cellIs" priority="48" dxfId="287" operator="lessThan" stopIfTrue="1">
      <formula>0.99*(X15+X16+X17)</formula>
    </cfRule>
  </conditionalFormatting>
  <conditionalFormatting sqref="X18">
    <cfRule type="cellIs" priority="47" dxfId="287" operator="lessThan" stopIfTrue="1">
      <formula>0.99*(X19+X20+X21)</formula>
    </cfRule>
  </conditionalFormatting>
  <conditionalFormatting sqref="Z8">
    <cfRule type="cellIs" priority="46" dxfId="287" operator="lessThan" stopIfTrue="1">
      <formula>0.99*(Z9+Z10+Z11+Z12+Z13)</formula>
    </cfRule>
  </conditionalFormatting>
  <conditionalFormatting sqref="Z14">
    <cfRule type="cellIs" priority="45" dxfId="287" operator="lessThan" stopIfTrue="1">
      <formula>0.99*(Z15+Z16+Z17)</formula>
    </cfRule>
  </conditionalFormatting>
  <conditionalFormatting sqref="Z18">
    <cfRule type="cellIs" priority="44" dxfId="287" operator="lessThan" stopIfTrue="1">
      <formula>0.99*(Z19+Z20+Z21)</formula>
    </cfRule>
  </conditionalFormatting>
  <conditionalFormatting sqref="AB8">
    <cfRule type="cellIs" priority="43" dxfId="287" operator="lessThan" stopIfTrue="1">
      <formula>0.99*(AB9+AB10+AB11+AB12+AB13)</formula>
    </cfRule>
  </conditionalFormatting>
  <conditionalFormatting sqref="AB14">
    <cfRule type="cellIs" priority="42" dxfId="287" operator="lessThan" stopIfTrue="1">
      <formula>0.99*(AB15+AB16+AB17)</formula>
    </cfRule>
  </conditionalFormatting>
  <conditionalFormatting sqref="AB18">
    <cfRule type="cellIs" priority="41" dxfId="287" operator="lessThan" stopIfTrue="1">
      <formula>0.99*(AB19+AB20+AB21)</formula>
    </cfRule>
  </conditionalFormatting>
  <conditionalFormatting sqref="AD8">
    <cfRule type="cellIs" priority="40" dxfId="287" operator="lessThan" stopIfTrue="1">
      <formula>0.99*(AD9+AD10+AD11+AD12+AD13)</formula>
    </cfRule>
  </conditionalFormatting>
  <conditionalFormatting sqref="AD14">
    <cfRule type="cellIs" priority="39" dxfId="287" operator="lessThan" stopIfTrue="1">
      <formula>0.99*(AD15+AD16+AD17)</formula>
    </cfRule>
  </conditionalFormatting>
  <conditionalFormatting sqref="AD18">
    <cfRule type="cellIs" priority="38" dxfId="287" operator="lessThan" stopIfTrue="1">
      <formula>0.99*(AD19+AD20+AD21)</formula>
    </cfRule>
  </conditionalFormatting>
  <conditionalFormatting sqref="AF8">
    <cfRule type="cellIs" priority="37" dxfId="287" operator="lessThan" stopIfTrue="1">
      <formula>0.99*(AF9+AF10+AF11+AF12+AF13)</formula>
    </cfRule>
  </conditionalFormatting>
  <conditionalFormatting sqref="AF14">
    <cfRule type="cellIs" priority="36" dxfId="287" operator="lessThan" stopIfTrue="1">
      <formula>0.99*(AF15+AF16+AF17)</formula>
    </cfRule>
  </conditionalFormatting>
  <conditionalFormatting sqref="AF18">
    <cfRule type="cellIs" priority="35" dxfId="287" operator="lessThan" stopIfTrue="1">
      <formula>0.99*(AF19+AF20+AF21)</formula>
    </cfRule>
  </conditionalFormatting>
  <conditionalFormatting sqref="AH8">
    <cfRule type="cellIs" priority="34" dxfId="287" operator="lessThan" stopIfTrue="1">
      <formula>0.99*(AH9+AH10+AH11+AH12+AH13)</formula>
    </cfRule>
  </conditionalFormatting>
  <conditionalFormatting sqref="AH14">
    <cfRule type="cellIs" priority="33" dxfId="287" operator="lessThan" stopIfTrue="1">
      <formula>0.99*(AH15+AH16+AH17)</formula>
    </cfRule>
  </conditionalFormatting>
  <conditionalFormatting sqref="AH18">
    <cfRule type="cellIs" priority="32" dxfId="287" operator="lessThan" stopIfTrue="1">
      <formula>0.99*(AH19+AH20+AH21)</formula>
    </cfRule>
  </conditionalFormatting>
  <conditionalFormatting sqref="AJ8">
    <cfRule type="cellIs" priority="31" dxfId="287" operator="lessThan" stopIfTrue="1">
      <formula>0.99*(AJ9+AJ10+AJ11+AJ12+AJ13)</formula>
    </cfRule>
  </conditionalFormatting>
  <conditionalFormatting sqref="AJ14">
    <cfRule type="cellIs" priority="30" dxfId="287" operator="lessThan" stopIfTrue="1">
      <formula>0.99*(AJ15+AJ16+AJ17)</formula>
    </cfRule>
  </conditionalFormatting>
  <conditionalFormatting sqref="AJ18">
    <cfRule type="cellIs" priority="29" dxfId="287" operator="lessThan" stopIfTrue="1">
      <formula>0.99*(AJ19+AJ20+AJ21)</formula>
    </cfRule>
  </conditionalFormatting>
  <conditionalFormatting sqref="AL8">
    <cfRule type="cellIs" priority="28" dxfId="287" operator="lessThan" stopIfTrue="1">
      <formula>0.99*(AL9+AL10+AL11+AL12+AL13)</formula>
    </cfRule>
  </conditionalFormatting>
  <conditionalFormatting sqref="AL14">
    <cfRule type="cellIs" priority="27" dxfId="287" operator="lessThan" stopIfTrue="1">
      <formula>0.99*(AL15+AL16+AL17)</formula>
    </cfRule>
  </conditionalFormatting>
  <conditionalFormatting sqref="AL18">
    <cfRule type="cellIs" priority="26" dxfId="287" operator="lessThan" stopIfTrue="1">
      <formula>0.99*(AL19+AL20+AL21)</formula>
    </cfRule>
  </conditionalFormatting>
  <conditionalFormatting sqref="AN8">
    <cfRule type="cellIs" priority="25" dxfId="287" operator="lessThan" stopIfTrue="1">
      <formula>0.99*(AN9+AN10+AN11+AN12+AN13)</formula>
    </cfRule>
  </conditionalFormatting>
  <conditionalFormatting sqref="AN14">
    <cfRule type="cellIs" priority="24" dxfId="287" operator="lessThan" stopIfTrue="1">
      <formula>0.99*(AN15+AN16+AN17)</formula>
    </cfRule>
  </conditionalFormatting>
  <conditionalFormatting sqref="AN18">
    <cfRule type="cellIs" priority="23" dxfId="287" operator="lessThan" stopIfTrue="1">
      <formula>0.99*(AN19+AN20+AN21)</formula>
    </cfRule>
  </conditionalFormatting>
  <conditionalFormatting sqref="AP8">
    <cfRule type="cellIs" priority="22" dxfId="287" operator="lessThan" stopIfTrue="1">
      <formula>0.99*(AP9+AP10+AP11+AP12+AP13)</formula>
    </cfRule>
  </conditionalFormatting>
  <conditionalFormatting sqref="AP14">
    <cfRule type="cellIs" priority="21" dxfId="287" operator="lessThan" stopIfTrue="1">
      <formula>0.99*(AP15+AP16+AP17)</formula>
    </cfRule>
  </conditionalFormatting>
  <conditionalFormatting sqref="AP18">
    <cfRule type="cellIs" priority="20" dxfId="287" operator="lessThan" stopIfTrue="1">
      <formula>0.99*(AP19+AP20+AP21)</formula>
    </cfRule>
  </conditionalFormatting>
  <conditionalFormatting sqref="AR8">
    <cfRule type="cellIs" priority="19" dxfId="287" operator="lessThan" stopIfTrue="1">
      <formula>0.99*(AR9+AR10+AR11+AR12+AR13)</formula>
    </cfRule>
  </conditionalFormatting>
  <conditionalFormatting sqref="AR14">
    <cfRule type="cellIs" priority="18" dxfId="287" operator="lessThan" stopIfTrue="1">
      <formula>0.99*(AR15+AR16+AR17)</formula>
    </cfRule>
  </conditionalFormatting>
  <conditionalFormatting sqref="AR18">
    <cfRule type="cellIs" priority="17" dxfId="287" operator="lessThan" stopIfTrue="1">
      <formula>0.99*(AR19+AR20+AR21)</formula>
    </cfRule>
  </conditionalFormatting>
  <conditionalFormatting sqref="AT8">
    <cfRule type="cellIs" priority="16" dxfId="287" operator="lessThan" stopIfTrue="1">
      <formula>0.99*(AT9+AT10+AT11+AT12+AT13)</formula>
    </cfRule>
  </conditionalFormatting>
  <conditionalFormatting sqref="AT14">
    <cfRule type="cellIs" priority="15" dxfId="287" operator="lessThan" stopIfTrue="1">
      <formula>0.99*(AT15+AT16+AT17)</formula>
    </cfRule>
  </conditionalFormatting>
  <conditionalFormatting sqref="AT18">
    <cfRule type="cellIs" priority="14" dxfId="287" operator="lessThan" stopIfTrue="1">
      <formula>0.99*(AT19+AT20+AT21)</formula>
    </cfRule>
  </conditionalFormatting>
  <conditionalFormatting sqref="AV8">
    <cfRule type="cellIs" priority="13" dxfId="287" operator="lessThan" stopIfTrue="1">
      <formula>0.99*(AV9+AV10+AV11+AV12+AV13)</formula>
    </cfRule>
  </conditionalFormatting>
  <conditionalFormatting sqref="AV14">
    <cfRule type="cellIs" priority="12" dxfId="287" operator="lessThan" stopIfTrue="1">
      <formula>0.99*(AV15+AV16+AV17)</formula>
    </cfRule>
  </conditionalFormatting>
  <conditionalFormatting sqref="AV18">
    <cfRule type="cellIs" priority="11" dxfId="287" operator="lessThan" stopIfTrue="1">
      <formula>0.99*(AV19+AV20+AV21)</formula>
    </cfRule>
  </conditionalFormatting>
  <conditionalFormatting sqref="BE8:BE24">
    <cfRule type="cellIs" priority="9" dxfId="286"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286" operator="equal" stopIfTrue="1">
      <formula>"&gt; 25%"</formula>
    </cfRule>
  </conditionalFormatting>
  <conditionalFormatting sqref="CS30 CA30 BY30 BW30 BU30 BS30 BQ30 CQ30 CO30 CM30 CK30 CI30 CG30 CE30 CC30">
    <cfRule type="cellIs" priority="8" dxfId="286" operator="equal" stopIfTrue="1">
      <formula>"&lt;&gt;"</formula>
    </cfRule>
  </conditionalFormatting>
  <conditionalFormatting sqref="BC30">
    <cfRule type="cellIs" priority="7" dxfId="286" operator="equal" stopIfTrue="1">
      <formula>"&lt;&gt;"</formula>
    </cfRule>
  </conditionalFormatting>
  <conditionalFormatting sqref="BE30">
    <cfRule type="cellIs" priority="6" dxfId="286" operator="equal" stopIfTrue="1">
      <formula>"&lt;&gt;"</formula>
    </cfRule>
  </conditionalFormatting>
  <conditionalFormatting sqref="BG30">
    <cfRule type="cellIs" priority="5" dxfId="286" operator="equal" stopIfTrue="1">
      <formula>"&lt;&gt;"</formula>
    </cfRule>
  </conditionalFormatting>
  <conditionalFormatting sqref="BI30">
    <cfRule type="cellIs" priority="4" dxfId="286" operator="equal" stopIfTrue="1">
      <formula>"&lt;&gt;"</formula>
    </cfRule>
  </conditionalFormatting>
  <conditionalFormatting sqref="BK30">
    <cfRule type="cellIs" priority="3" dxfId="286" operator="equal" stopIfTrue="1">
      <formula>"&lt;&gt;"</formula>
    </cfRule>
  </conditionalFormatting>
  <conditionalFormatting sqref="BM30">
    <cfRule type="cellIs" priority="2" dxfId="286" operator="equal" stopIfTrue="1">
      <formula>"&lt;&gt;"</formula>
    </cfRule>
  </conditionalFormatting>
  <conditionalFormatting sqref="BO30">
    <cfRule type="cellIs" priority="1" dxfId="286"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F73"/>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v>520</v>
      </c>
      <c r="C3" s="349" t="s">
        <v>358</v>
      </c>
      <c r="D3" s="32" t="s">
        <v>185</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t="s">
        <v>604</v>
      </c>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52" t="s">
        <v>145</v>
      </c>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c r="U8" s="627"/>
      <c r="V8" s="613"/>
      <c r="W8" s="627"/>
      <c r="X8" s="613"/>
      <c r="Y8" s="627"/>
      <c r="Z8" s="613"/>
      <c r="AA8" s="627"/>
      <c r="AB8" s="613"/>
      <c r="AC8" s="627"/>
      <c r="AD8" s="613"/>
      <c r="AE8" s="627"/>
      <c r="AF8" s="613"/>
      <c r="AG8" s="627"/>
      <c r="AH8" s="613"/>
      <c r="AI8" s="627"/>
      <c r="AJ8" s="613"/>
      <c r="AK8" s="627"/>
      <c r="AL8" s="613"/>
      <c r="AM8" s="627"/>
      <c r="AN8" s="613"/>
      <c r="AO8" s="627"/>
      <c r="AP8" s="613"/>
      <c r="AQ8" s="627"/>
      <c r="AR8" s="613"/>
      <c r="AS8" s="627"/>
      <c r="AT8" s="613"/>
      <c r="AU8" s="627"/>
      <c r="AV8" s="613"/>
      <c r="AW8" s="627"/>
      <c r="AY8" s="408">
        <v>1</v>
      </c>
      <c r="AZ8" s="563" t="s">
        <v>10</v>
      </c>
      <c r="BA8" s="101" t="s">
        <v>321</v>
      </c>
      <c r="BB8" s="101" t="s">
        <v>97</v>
      </c>
      <c r="BC8" s="646"/>
      <c r="BD8" s="82" t="str">
        <f>IF(OR(ISBLANK(F8),ISBLANK(H8)),"N/A",IF(ABS(H8-F8)&gt;100,"&gt; 100%","ok"))</f>
        <v>N/A</v>
      </c>
      <c r="BE8" s="646"/>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N/A</v>
      </c>
      <c r="BO8" s="82"/>
      <c r="BP8" s="82" t="str">
        <f>IF(OR(ISBLANK(R8),ISBLANK(T8)),"N/A",IF(ABS(T8-R8)&gt;25,"&gt; 25%","ok"))</f>
        <v>N/A</v>
      </c>
      <c r="BQ8" s="82"/>
      <c r="BR8" s="82" t="str">
        <f>IF(OR(ISBLANK(T8),ISBLANK(V8)),"N/A",IF(ABS(V8-T8)&gt;25,"&gt; 25%","ok"))</f>
        <v>N/A</v>
      </c>
      <c r="BS8" s="82"/>
      <c r="BT8" s="82" t="str">
        <f>IF(OR(ISBLANK(V8),ISBLANK(X8)),"N/A",IF(ABS(X8-V8)&gt;25,"&gt; 25%","ok"))</f>
        <v>N/A</v>
      </c>
      <c r="BU8" s="82"/>
      <c r="BV8" s="82" t="str">
        <f>IF(OR(ISBLANK(X8),ISBLANK(Z8)),"N/A",IF(ABS(Z8-X8)&gt;25,"&gt; 25%","ok"))</f>
        <v>N/A</v>
      </c>
      <c r="BW8" s="82"/>
      <c r="BX8" s="82" t="str">
        <f>IF(OR(ISBLANK(Z8),ISBLANK(AB8)),"N/A",IF(ABS(AB8-Z8)&gt;25,"&gt; 25%","ok"))</f>
        <v>N/A</v>
      </c>
      <c r="BY8" s="82"/>
      <c r="BZ8" s="82" t="str">
        <f>IF(OR(ISBLANK(AB8),ISBLANK(AD8)),"N/A",IF(ABS(AD8-AB8)&gt;25,"&gt; 25%","ok"))</f>
        <v>N/A</v>
      </c>
      <c r="CA8" s="82"/>
      <c r="CB8" s="82" t="str">
        <f>IF(OR(ISBLANK(AD8),ISBLANK(AF8)),"N/A",IF(ABS(AF8-AD8)&gt;25,"&gt; 25%","ok"))</f>
        <v>N/A</v>
      </c>
      <c r="CC8" s="82"/>
      <c r="CD8" s="82" t="str">
        <f>IF(OR(ISBLANK(AF8),ISBLANK(AH8)),"N/A",IF(ABS(AH8-AF8)&gt;25,"&gt; 25%","ok"))</f>
        <v>N/A</v>
      </c>
      <c r="CE8" s="82"/>
      <c r="CF8" s="82" t="str">
        <f>IF(OR(ISBLANK(AH8),ISBLANK(AJ8)),"N/A",IF(ABS(AJ8-AH8)&gt;25,"&gt; 25%","ok"))</f>
        <v>N/A</v>
      </c>
      <c r="CG8" s="82"/>
      <c r="CH8" s="82" t="str">
        <f>IF(OR(ISBLANK(AJ8),ISBLANK(AL8)),"N/A",IF(ABS(AL8-AJ8)&gt;25,"&gt; 25%","ok"))</f>
        <v>N/A</v>
      </c>
      <c r="CI8" s="82"/>
      <c r="CJ8" s="82" t="str">
        <f>IF(OR(ISBLANK(AL8),ISBLANK(AN8)),"N/A",IF(ABS(AN8-AL8)&gt;25,"&gt; 25%","ok"))</f>
        <v>N/A</v>
      </c>
      <c r="CK8" s="82"/>
      <c r="CL8" s="82" t="str">
        <f>IF(OR(ISBLANK(AN8),ISBLANK(AP8)),"N/A",IF(ABS(AP8-AN8)&gt;25,"&gt; 25%","ok"))</f>
        <v>N/A</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c r="U9" s="627"/>
      <c r="V9" s="613"/>
      <c r="W9" s="627"/>
      <c r="X9" s="613"/>
      <c r="Y9" s="627"/>
      <c r="Z9" s="613"/>
      <c r="AA9" s="627"/>
      <c r="AB9" s="613"/>
      <c r="AC9" s="627"/>
      <c r="AD9" s="613"/>
      <c r="AE9" s="627"/>
      <c r="AF9" s="613"/>
      <c r="AG9" s="627"/>
      <c r="AH9" s="613"/>
      <c r="AI9" s="627"/>
      <c r="AJ9" s="613"/>
      <c r="AK9" s="627"/>
      <c r="AL9" s="613"/>
      <c r="AM9" s="627"/>
      <c r="AN9" s="613"/>
      <c r="AO9" s="627"/>
      <c r="AP9" s="613"/>
      <c r="AQ9" s="627"/>
      <c r="AR9" s="613"/>
      <c r="AS9" s="627"/>
      <c r="AT9" s="613"/>
      <c r="AU9" s="627"/>
      <c r="AV9" s="613"/>
      <c r="AW9" s="627"/>
      <c r="AY9" s="388">
        <v>2</v>
      </c>
      <c r="AZ9" s="565" t="s">
        <v>11</v>
      </c>
      <c r="BA9" s="101" t="s">
        <v>321</v>
      </c>
      <c r="BB9" s="101" t="s">
        <v>97</v>
      </c>
      <c r="BC9" s="646"/>
      <c r="BD9" s="82" t="str">
        <f>IF(OR(ISBLANK(F9),ISBLANK(H9)),"N/A",IF(ABS(H9-F9)&gt;100,"&gt; 100%","ok"))</f>
        <v>N/A</v>
      </c>
      <c r="BE9" s="646"/>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N/A</v>
      </c>
      <c r="BS9" s="82"/>
      <c r="BT9" s="82" t="str">
        <f>IF(OR(ISBLANK(V9),ISBLANK(X9)),"N/A",IF(ABS(X9-V9)&gt;25,"&gt; 25%","ok"))</f>
        <v>N/A</v>
      </c>
      <c r="BU9" s="82"/>
      <c r="BV9" s="82" t="str">
        <f>IF(OR(ISBLANK(X9),ISBLANK(Z9)),"N/A",IF(ABS(Z9-X9)&gt;25,"&gt; 25%","ok"))</f>
        <v>N/A</v>
      </c>
      <c r="BW9" s="82"/>
      <c r="BX9" s="82" t="str">
        <f>IF(OR(ISBLANK(Z9),ISBLANK(AB9)),"N/A",IF(ABS(AB9-Z9)&gt;25,"&gt; 25%","ok"))</f>
        <v>N/A</v>
      </c>
      <c r="BY9" s="82"/>
      <c r="BZ9" s="82" t="str">
        <f>IF(OR(ISBLANK(AB9),ISBLANK(AD9)),"N/A",IF(ABS(AD9-AB9)&gt;25,"&gt; 25%","ok"))</f>
        <v>N/A</v>
      </c>
      <c r="CA9" s="82"/>
      <c r="CB9" s="82" t="str">
        <f>IF(OR(ISBLANK(AD9),ISBLANK(AF9)),"N/A",IF(ABS(AF9-AD9)&gt;25,"&gt; 25%","ok"))</f>
        <v>N/A</v>
      </c>
      <c r="CC9" s="82"/>
      <c r="CD9" s="82" t="str">
        <f>IF(OR(ISBLANK(AF9),ISBLANK(AH9)),"N/A",IF(ABS(AH9-AF9)&gt;25,"&gt; 25%","ok"))</f>
        <v>N/A</v>
      </c>
      <c r="CE9" s="82"/>
      <c r="CF9" s="82" t="str">
        <f>IF(OR(ISBLANK(AH9),ISBLANK(AJ9)),"N/A",IF(ABS(AJ9-AH9)&gt;25,"&gt; 25%","ok"))</f>
        <v>N/A</v>
      </c>
      <c r="CG9" s="82"/>
      <c r="CH9" s="82" t="str">
        <f>IF(OR(ISBLANK(AJ9),ISBLANK(AL9)),"N/A",IF(ABS(AL9-AJ9)&gt;25,"&gt; 25%","ok"))</f>
        <v>N/A</v>
      </c>
      <c r="CI9" s="82"/>
      <c r="CJ9" s="82" t="str">
        <f>IF(OR(ISBLANK(AL9),ISBLANK(AN9)),"N/A",IF(ABS(AN9-AL9)&gt;25,"&gt; 25%","ok"))</f>
        <v>N/A</v>
      </c>
      <c r="CK9" s="82"/>
      <c r="CL9" s="82" t="str">
        <f>IF(OR(ISBLANK(AN9),ISBLANK(AP9)),"N/A",IF(ABS(AP9-AN9)&gt;25,"&gt; 25%","ok"))</f>
        <v>N/A</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c r="AA10" s="624"/>
      <c r="AB10" s="611"/>
      <c r="AC10" s="624"/>
      <c r="AD10" s="611"/>
      <c r="AE10" s="624"/>
      <c r="AF10" s="611"/>
      <c r="AG10" s="624"/>
      <c r="AH10" s="611"/>
      <c r="AI10" s="624"/>
      <c r="AJ10" s="611"/>
      <c r="AK10" s="624"/>
      <c r="AL10" s="611"/>
      <c r="AM10" s="624"/>
      <c r="AN10" s="611"/>
      <c r="AO10" s="624"/>
      <c r="AP10" s="611"/>
      <c r="AQ10" s="624"/>
      <c r="AR10" s="611"/>
      <c r="AS10" s="624"/>
      <c r="AT10" s="611"/>
      <c r="AU10" s="624"/>
      <c r="AV10" s="611"/>
      <c r="AW10" s="624"/>
      <c r="AY10" s="101">
        <v>3</v>
      </c>
      <c r="AZ10" s="567" t="s">
        <v>574</v>
      </c>
      <c r="BA10" s="101" t="s">
        <v>321</v>
      </c>
      <c r="BB10" s="84" t="s">
        <v>97</v>
      </c>
      <c r="BC10" s="647"/>
      <c r="BD10" s="82" t="str">
        <f>IF(OR(ISBLANK(F10),ISBLANK(H10)),"N/A",IF(ABS(H10-F10)&gt;100,"&gt; 100%","ok"))</f>
        <v>N/A</v>
      </c>
      <c r="BE10" s="647"/>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c r="AA11" s="624"/>
      <c r="AB11" s="611"/>
      <c r="AC11" s="624"/>
      <c r="AD11" s="611"/>
      <c r="AE11" s="624"/>
      <c r="AF11" s="611"/>
      <c r="AG11" s="624"/>
      <c r="AH11" s="611"/>
      <c r="AI11" s="624"/>
      <c r="AJ11" s="611"/>
      <c r="AK11" s="624"/>
      <c r="AL11" s="611"/>
      <c r="AM11" s="624"/>
      <c r="AN11" s="611"/>
      <c r="AO11" s="624"/>
      <c r="AP11" s="611"/>
      <c r="AQ11" s="624"/>
      <c r="AR11" s="611"/>
      <c r="AS11" s="624"/>
      <c r="AT11" s="611"/>
      <c r="AU11" s="624"/>
      <c r="AV11" s="611"/>
      <c r="AW11" s="624"/>
      <c r="AY11" s="84">
        <v>4</v>
      </c>
      <c r="AZ11" s="274" t="s">
        <v>2</v>
      </c>
      <c r="BA11" s="101" t="s">
        <v>321</v>
      </c>
      <c r="BB11" s="84" t="s">
        <v>97</v>
      </c>
      <c r="BC11" s="647"/>
      <c r="BD11" s="82" t="str">
        <f>IF(OR(ISBLANK(F11),ISBLANK(H11)),"N/A",IF(ABS(H11-F11)&gt;100,"&gt; 100%","ok"))</f>
        <v>N/A</v>
      </c>
      <c r="BE11" s="647"/>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N/A</v>
      </c>
      <c r="BS11" s="82"/>
      <c r="BT11" s="82" t="str">
        <f>IF(OR(ISBLANK(V11),ISBLANK(X11)),"N/A",IF(ABS(X11-V11)&gt;25,"&gt; 25%","ok"))</f>
        <v>N/A</v>
      </c>
      <c r="BU11" s="82"/>
      <c r="BV11" s="82" t="str">
        <f>IF(OR(ISBLANK(X11),ISBLANK(Z11)),"N/A",IF(ABS(Z11-X11)&gt;25,"&gt; 25%","ok"))</f>
        <v>N/A</v>
      </c>
      <c r="BW11" s="82"/>
      <c r="BX11" s="82" t="str">
        <f>IF(OR(ISBLANK(Z11),ISBLANK(AB11)),"N/A",IF(ABS(AB11-Z11)&gt;25,"&gt; 25%","ok"))</f>
        <v>N/A</v>
      </c>
      <c r="BY11" s="82"/>
      <c r="BZ11" s="82" t="str">
        <f>IF(OR(ISBLANK(AB11),ISBLANK(AD11)),"N/A",IF(ABS(AD11-AB11)&gt;25,"&gt; 25%","ok"))</f>
        <v>N/A</v>
      </c>
      <c r="CA11" s="82"/>
      <c r="CB11" s="82" t="str">
        <f>IF(OR(ISBLANK(AD11),ISBLANK(AF11)),"N/A",IF(ABS(AF11-AD11)&gt;25,"&gt; 25%","ok"))</f>
        <v>N/A</v>
      </c>
      <c r="CC11" s="82"/>
      <c r="CD11" s="82" t="str">
        <f>IF(OR(ISBLANK(AF11),ISBLANK(AH11)),"N/A",IF(ABS(AH11-AF11)&gt;25,"&gt; 25%","ok"))</f>
        <v>N/A</v>
      </c>
      <c r="CE11" s="82"/>
      <c r="CF11" s="82" t="str">
        <f>IF(OR(ISBLANK(AH11),ISBLANK(AJ11)),"N/A",IF(ABS(AJ11-AH11)&gt;25,"&gt; 25%","ok"))</f>
        <v>N/A</v>
      </c>
      <c r="CG11" s="82"/>
      <c r="CH11" s="82" t="str">
        <f>IF(OR(ISBLANK(AJ11),ISBLANK(AL11)),"N/A",IF(ABS(AL11-AJ11)&gt;25,"&gt; 25%","ok"))</f>
        <v>N/A</v>
      </c>
      <c r="CI11" s="82"/>
      <c r="CJ11" s="82" t="str">
        <f>IF(OR(ISBLANK(AL11),ISBLANK(AN11)),"N/A",IF(ABS(AN11-AL11)&gt;25,"&gt; 25%","ok"))</f>
        <v>N/A</v>
      </c>
      <c r="CK11" s="82"/>
      <c r="CL11" s="82" t="str">
        <f>IF(OR(ISBLANK(AN11),ISBLANK(AP11)),"N/A",IF(ABS(AP11-AN11)&gt;25,"&gt; 25%","ok"))</f>
        <v>N/A</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30"/>
      <c r="AY12" s="99">
        <v>5</v>
      </c>
      <c r="AZ12" s="473" t="s">
        <v>75</v>
      </c>
      <c r="BA12" s="99" t="s">
        <v>321</v>
      </c>
      <c r="BB12" s="99" t="s">
        <v>97</v>
      </c>
      <c r="BC12" s="650"/>
      <c r="BD12" s="82" t="str">
        <f>IF(OR(ISBLANK(F12),ISBLANK(H12)),"N/A",IF(ABS(H12-F12)&gt;100,"&gt; 100%","ok"))</f>
        <v>N/A</v>
      </c>
      <c r="BE12" s="650"/>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69" t="s">
        <v>168</v>
      </c>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243" t="s">
        <v>347</v>
      </c>
      <c r="AZ15" s="243" t="s">
        <v>349</v>
      </c>
      <c r="BA15" s="243" t="s">
        <v>352</v>
      </c>
      <c r="BB15" s="656">
        <v>1990</v>
      </c>
      <c r="BC15" s="657"/>
      <c r="BD15" s="656">
        <v>1995</v>
      </c>
      <c r="BE15" s="657"/>
      <c r="BF15" s="656">
        <v>1996</v>
      </c>
      <c r="BG15" s="657"/>
      <c r="BH15" s="656">
        <v>1997</v>
      </c>
      <c r="BI15" s="657"/>
      <c r="BJ15" s="656">
        <v>1998</v>
      </c>
      <c r="BK15" s="657"/>
      <c r="BL15" s="656">
        <v>1999</v>
      </c>
      <c r="BM15" s="657"/>
      <c r="BN15" s="656">
        <v>2000</v>
      </c>
      <c r="BO15" s="657"/>
      <c r="BP15" s="656">
        <v>2001</v>
      </c>
      <c r="BQ15" s="657"/>
      <c r="BR15" s="656">
        <v>2002</v>
      </c>
      <c r="BS15" s="657"/>
      <c r="BT15" s="656">
        <v>2003</v>
      </c>
      <c r="BU15" s="657"/>
      <c r="BV15" s="656">
        <v>2004</v>
      </c>
      <c r="BW15" s="657"/>
      <c r="BX15" s="656">
        <v>2005</v>
      </c>
      <c r="BY15" s="657"/>
      <c r="BZ15" s="656">
        <v>2006</v>
      </c>
      <c r="CA15" s="657"/>
      <c r="CB15" s="656">
        <v>2007</v>
      </c>
      <c r="CC15" s="657"/>
      <c r="CD15" s="656">
        <v>2008</v>
      </c>
      <c r="CE15" s="657"/>
      <c r="CF15" s="656">
        <v>2009</v>
      </c>
      <c r="CG15" s="657"/>
      <c r="CH15" s="656">
        <v>2010</v>
      </c>
      <c r="CI15" s="657"/>
      <c r="CJ15" s="656">
        <v>2011</v>
      </c>
      <c r="CK15" s="658"/>
      <c r="CL15" s="656">
        <v>2012</v>
      </c>
      <c r="CM15" s="657"/>
      <c r="CN15" s="656">
        <v>2013</v>
      </c>
      <c r="CO15" s="657"/>
      <c r="CP15" s="656">
        <v>2014</v>
      </c>
      <c r="CQ15" s="658"/>
      <c r="CR15" s="656">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55" t="s">
        <v>129</v>
      </c>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408">
        <v>1</v>
      </c>
      <c r="AZ16" s="563" t="s">
        <v>10</v>
      </c>
      <c r="BA16" s="101" t="s">
        <v>321</v>
      </c>
      <c r="BB16" s="101">
        <f>F8</f>
        <v>0</v>
      </c>
      <c r="BC16" s="101"/>
      <c r="BD16" s="101">
        <f>H8</f>
        <v>0</v>
      </c>
      <c r="BE16" s="101"/>
      <c r="BF16" s="101">
        <f>J8</f>
        <v>0</v>
      </c>
      <c r="BG16" s="101"/>
      <c r="BH16" s="101">
        <f>L8</f>
        <v>0</v>
      </c>
      <c r="BI16" s="101"/>
      <c r="BJ16" s="101">
        <f>N8</f>
        <v>0</v>
      </c>
      <c r="BK16" s="101"/>
      <c r="BL16" s="101">
        <f>P8</f>
        <v>0</v>
      </c>
      <c r="BM16" s="101"/>
      <c r="BN16" s="101">
        <f>R8</f>
        <v>0</v>
      </c>
      <c r="BO16" s="101"/>
      <c r="BP16" s="101">
        <f>T8</f>
        <v>0</v>
      </c>
      <c r="BQ16" s="101"/>
      <c r="BR16" s="101">
        <f>V8</f>
        <v>0</v>
      </c>
      <c r="BS16" s="101"/>
      <c r="BT16" s="101">
        <f>X8</f>
        <v>0</v>
      </c>
      <c r="BU16" s="101"/>
      <c r="BV16" s="101">
        <f>Z8</f>
        <v>0</v>
      </c>
      <c r="BW16" s="101"/>
      <c r="BX16" s="101">
        <f>AB8</f>
        <v>0</v>
      </c>
      <c r="BY16" s="101"/>
      <c r="BZ16" s="101">
        <f>AD8</f>
        <v>0</v>
      </c>
      <c r="CA16" s="101"/>
      <c r="CB16" s="101">
        <f>AF8</f>
        <v>0</v>
      </c>
      <c r="CC16" s="101"/>
      <c r="CD16" s="101">
        <f>AH8</f>
        <v>0</v>
      </c>
      <c r="CE16" s="101"/>
      <c r="CF16" s="101">
        <f>AJ8</f>
        <v>0</v>
      </c>
      <c r="CG16" s="101"/>
      <c r="CH16" s="101">
        <f>AL8</f>
        <v>0</v>
      </c>
      <c r="CI16" s="101"/>
      <c r="CJ16" s="101">
        <f>AN8</f>
        <v>0</v>
      </c>
      <c r="CK16" s="101"/>
      <c r="CL16" s="101">
        <f>AP8</f>
        <v>0</v>
      </c>
      <c r="CM16" s="646"/>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59" t="s">
        <v>596</v>
      </c>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0</v>
      </c>
      <c r="BQ17" s="101"/>
      <c r="BR17" s="101">
        <f>V9</f>
        <v>0</v>
      </c>
      <c r="BS17" s="101"/>
      <c r="BT17" s="101">
        <f>X9</f>
        <v>0</v>
      </c>
      <c r="BU17" s="101"/>
      <c r="BV17" s="101">
        <f>Z9</f>
        <v>0</v>
      </c>
      <c r="BW17" s="101"/>
      <c r="BX17" s="101">
        <f>AB9</f>
        <v>0</v>
      </c>
      <c r="BY17" s="101"/>
      <c r="BZ17" s="101">
        <f>AD9</f>
        <v>0</v>
      </c>
      <c r="CA17" s="101"/>
      <c r="CB17" s="101">
        <f>AF9</f>
        <v>0</v>
      </c>
      <c r="CC17" s="101"/>
      <c r="CD17" s="101">
        <f>AH9</f>
        <v>0</v>
      </c>
      <c r="CE17" s="101"/>
      <c r="CF17" s="101">
        <f>AJ9</f>
        <v>0</v>
      </c>
      <c r="CG17" s="101"/>
      <c r="CH17" s="101">
        <f>AL9</f>
        <v>0</v>
      </c>
      <c r="CI17" s="101"/>
      <c r="CJ17" s="101">
        <f>AN9</f>
        <v>0</v>
      </c>
      <c r="CK17" s="101"/>
      <c r="CL17" s="101">
        <f>AP9</f>
        <v>0</v>
      </c>
      <c r="CM17" s="646"/>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N/A</v>
      </c>
      <c r="BQ18" s="101"/>
      <c r="BR18" s="101" t="str">
        <f>IF(OR(ISBLANK(V8),ISBLANK(V9)),"N/A",IF(BR16&gt;=BR17,"ok","&lt;&gt;"))</f>
        <v>N/A</v>
      </c>
      <c r="BS18" s="101"/>
      <c r="BT18" s="101" t="str">
        <f>IF(OR(ISBLANK(X8),ISBLANK(X9)),"N/A",IF(BT16&gt;=BT17,"ok","&lt;&gt;"))</f>
        <v>N/A</v>
      </c>
      <c r="BU18" s="101"/>
      <c r="BV18" s="101" t="str">
        <f>IF(OR(ISBLANK(Z8),ISBLANK(Z9)),"N/A",IF(BV16&gt;=BV17,"ok","&lt;&gt;"))</f>
        <v>N/A</v>
      </c>
      <c r="BW18" s="101"/>
      <c r="BX18" s="101" t="str">
        <f>IF(OR(ISBLANK(AB8),ISBLANK(AB9)),"N/A",IF(BX16&gt;=BX17,"ok","&lt;&gt;"))</f>
        <v>N/A</v>
      </c>
      <c r="BY18" s="101"/>
      <c r="BZ18" s="101" t="str">
        <f>IF(OR(ISBLANK(AD8),ISBLANK(AD9)),"N/A",IF(BZ16&gt;=BZ17,"ok","&lt;&gt;"))</f>
        <v>N/A</v>
      </c>
      <c r="CA18" s="101"/>
      <c r="CB18" s="101" t="str">
        <f>IF(OR(ISBLANK(AF8),ISBLANK(AF9)),"N/A",IF(CB16&gt;=CB17,"ok","&lt;&gt;"))</f>
        <v>N/A</v>
      </c>
      <c r="CC18" s="101"/>
      <c r="CD18" s="101" t="str">
        <f>IF(OR(ISBLANK(AH8),ISBLANK(AH9)),"N/A",IF(CD16&gt;=CD17,"ok","&lt;&gt;"))</f>
        <v>N/A</v>
      </c>
      <c r="CE18" s="101"/>
      <c r="CF18" s="101" t="str">
        <f>IF(OR(ISBLANK(AJ8),ISBLANK(AJ9)),"N/A",IF(CF16&gt;=CF17,"ok","&lt;&gt;"))</f>
        <v>N/A</v>
      </c>
      <c r="CG18" s="101"/>
      <c r="CH18" s="101" t="str">
        <f>IF(OR(ISBLANK(AL8),ISBLANK(AL9)),"N/A",IF(CH16&gt;=CH17,"ok","&lt;&gt;"))</f>
        <v>N/A</v>
      </c>
      <c r="CI18" s="101"/>
      <c r="CJ18" s="101" t="str">
        <f>IF(OR(ISBLANK(AN8),ISBLANK(AN9)),"N/A",IF(CJ16&gt;=CJ17,"ok","&lt;&gt;"))</f>
        <v>N/A</v>
      </c>
      <c r="CK18" s="101"/>
      <c r="CL18" s="101" t="str">
        <f>IF(OR(ISBLANK(AP8),ISBLANK(AP9)),"N/A",IF(CL16&gt;=CL17,"ok","&lt;&gt;"))</f>
        <v>N/A</v>
      </c>
      <c r="CM18" s="646"/>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0</v>
      </c>
      <c r="BW19" s="101"/>
      <c r="BX19" s="101">
        <f>AB10</f>
        <v>0</v>
      </c>
      <c r="BY19" s="101"/>
      <c r="BZ19" s="101">
        <f>AD10</f>
        <v>0</v>
      </c>
      <c r="CA19" s="101"/>
      <c r="CB19" s="101">
        <f>AF10</f>
        <v>0</v>
      </c>
      <c r="CC19" s="101"/>
      <c r="CD19" s="101">
        <f>AH10</f>
        <v>0</v>
      </c>
      <c r="CE19" s="101"/>
      <c r="CF19" s="101">
        <f>AJ10</f>
        <v>0</v>
      </c>
      <c r="CG19" s="101"/>
      <c r="CH19" s="101">
        <f>AL10</f>
        <v>0</v>
      </c>
      <c r="CI19" s="101"/>
      <c r="CJ19" s="101">
        <f>AN10</f>
        <v>0</v>
      </c>
      <c r="CK19" s="101"/>
      <c r="CL19" s="101">
        <f>AP10</f>
        <v>0</v>
      </c>
      <c r="CM19" s="646"/>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6"/>
      <c r="BD20" s="82"/>
      <c r="BE20" s="646"/>
      <c r="BF20" s="82"/>
      <c r="BG20" s="646"/>
      <c r="BH20" s="82"/>
      <c r="BI20" s="646"/>
      <c r="BJ20" s="82"/>
      <c r="BK20" s="646"/>
      <c r="BL20" s="82"/>
      <c r="BM20" s="646"/>
      <c r="BN20" s="82"/>
      <c r="BO20" s="646"/>
      <c r="BP20" s="82"/>
      <c r="BQ20" s="646"/>
      <c r="BR20" s="101"/>
      <c r="BS20" s="646"/>
      <c r="BT20" s="101"/>
      <c r="BU20" s="646"/>
      <c r="BV20" s="101"/>
      <c r="BW20" s="646"/>
      <c r="BX20" s="101"/>
      <c r="BY20" s="646"/>
      <c r="BZ20" s="101"/>
      <c r="CA20" s="646"/>
      <c r="CB20" s="101"/>
      <c r="CC20" s="646"/>
      <c r="CD20" s="82"/>
      <c r="CE20" s="646"/>
      <c r="CF20" s="101"/>
      <c r="CG20" s="646"/>
      <c r="CH20" s="101"/>
      <c r="CI20" s="646"/>
      <c r="CJ20" s="101"/>
      <c r="CK20" s="646"/>
      <c r="CL20" s="101"/>
      <c r="CM20" s="646"/>
      <c r="CN20" s="101"/>
      <c r="CO20" s="646"/>
      <c r="CP20" s="101"/>
      <c r="CQ20" s="646"/>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N/A</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N/A</v>
      </c>
      <c r="CK21" s="101"/>
      <c r="CL21" s="101" t="str">
        <f>IF(OR(ISBLANK(AP10),ISBLANK(AP9)),"N/A",IF(CL17&gt;=CL19,"ok","&lt;&gt;"))</f>
        <v>N/A</v>
      </c>
      <c r="CM21" s="646"/>
      <c r="CN21" s="101" t="str">
        <f>IF(OR(ISBLANK(AR10),ISBLANK(AR9)),"N/A",IF(CN17&gt;=CN19,"ok","&lt;&gt;"))</f>
        <v>N/A</v>
      </c>
      <c r="CO21" s="101"/>
      <c r="CP21" s="101" t="str">
        <f>IF(OR(ISBLANK(AT10),ISBLANK(AT9)),"N/A",IF(CP17&gt;=CP19,"ok","&lt;&gt;"))</f>
        <v>N/A</v>
      </c>
      <c r="CQ21" s="101"/>
      <c r="CR21" s="101" t="str">
        <f>IF(OR(ISBLANK(AV10),ISBLANK(AV9)),"N/A",IF(CR17&gt;=CR19,"ok","&lt;&gt;"))</f>
        <v>N/A</v>
      </c>
    </row>
    <row r="22" spans="3:96" ht="18" customHeight="1">
      <c r="C22" s="569"/>
      <c r="D22" s="770"/>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1"/>
      <c r="AQ22" s="771"/>
      <c r="AR22" s="771"/>
      <c r="AS22" s="771"/>
      <c r="AT22" s="771"/>
      <c r="AU22" s="771"/>
      <c r="AV22" s="771"/>
      <c r="AW22" s="771"/>
      <c r="AX22" s="772"/>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0</v>
      </c>
      <c r="BW22" s="101"/>
      <c r="BX22" s="101">
        <f>AB12</f>
        <v>0</v>
      </c>
      <c r="BY22" s="101"/>
      <c r="BZ22" s="101">
        <f>AD12</f>
        <v>0</v>
      </c>
      <c r="CA22" s="101"/>
      <c r="CB22" s="101">
        <f>AF12</f>
        <v>0</v>
      </c>
      <c r="CC22" s="101"/>
      <c r="CD22" s="101">
        <f>AH12</f>
        <v>0</v>
      </c>
      <c r="CE22" s="101"/>
      <c r="CF22" s="101">
        <f>AJ12</f>
        <v>0</v>
      </c>
      <c r="CG22" s="101"/>
      <c r="CH22" s="101">
        <f>AL12</f>
        <v>0</v>
      </c>
      <c r="CI22" s="101"/>
      <c r="CJ22" s="101">
        <f>AN12</f>
        <v>0</v>
      </c>
      <c r="CK22" s="101"/>
      <c r="CL22" s="101">
        <f>AP12</f>
        <v>0</v>
      </c>
      <c r="CM22" s="646"/>
      <c r="CN22" s="101">
        <f>AR12</f>
        <v>0</v>
      </c>
      <c r="CO22" s="101"/>
      <c r="CP22" s="101">
        <f>AT12</f>
        <v>0</v>
      </c>
      <c r="CQ22" s="101"/>
      <c r="CR22" s="101">
        <f>AV12</f>
        <v>0</v>
      </c>
    </row>
    <row r="23" spans="3:96" ht="18" customHeight="1">
      <c r="C23" s="569"/>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5"/>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N/A</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N/A</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43"/>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4"/>
      <c r="AO24" s="744"/>
      <c r="AP24" s="744"/>
      <c r="AQ24" s="744"/>
      <c r="AR24" s="744"/>
      <c r="AS24" s="744"/>
      <c r="AT24" s="744"/>
      <c r="AU24" s="744"/>
      <c r="AV24" s="744"/>
      <c r="AW24" s="744"/>
      <c r="AX24" s="745"/>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43"/>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5"/>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43"/>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5"/>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43"/>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5"/>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43"/>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5"/>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43"/>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5"/>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43"/>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43"/>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5"/>
      <c r="AZ31" s="330"/>
    </row>
    <row r="32" spans="3:50" ht="18" customHeight="1">
      <c r="C32" s="569"/>
      <c r="D32" s="743"/>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c r="AX32" s="745"/>
    </row>
    <row r="33" spans="3:50" ht="18" customHeight="1">
      <c r="C33" s="569"/>
      <c r="D33" s="743"/>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5"/>
    </row>
    <row r="34" spans="3:50" ht="18" customHeight="1">
      <c r="C34" s="569"/>
      <c r="D34" s="743"/>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5"/>
    </row>
    <row r="35" spans="3:50" ht="18" customHeight="1">
      <c r="C35" s="569"/>
      <c r="D35" s="743"/>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5"/>
    </row>
    <row r="36" spans="3:50" ht="18" customHeight="1">
      <c r="C36" s="569"/>
      <c r="D36" s="743"/>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45"/>
    </row>
    <row r="37" spans="3:50" ht="18" customHeight="1">
      <c r="C37" s="569"/>
      <c r="D37" s="743"/>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4"/>
      <c r="AJ37" s="744"/>
      <c r="AK37" s="744"/>
      <c r="AL37" s="744"/>
      <c r="AM37" s="744"/>
      <c r="AN37" s="744"/>
      <c r="AO37" s="744"/>
      <c r="AP37" s="744"/>
      <c r="AQ37" s="744"/>
      <c r="AR37" s="744"/>
      <c r="AS37" s="744"/>
      <c r="AT37" s="744"/>
      <c r="AU37" s="744"/>
      <c r="AV37" s="744"/>
      <c r="AW37" s="744"/>
      <c r="AX37" s="745"/>
    </row>
    <row r="38" spans="3:50" ht="18" customHeight="1">
      <c r="C38" s="569"/>
      <c r="D38" s="743"/>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44"/>
      <c r="AL38" s="744"/>
      <c r="AM38" s="744"/>
      <c r="AN38" s="744"/>
      <c r="AO38" s="744"/>
      <c r="AP38" s="744"/>
      <c r="AQ38" s="744"/>
      <c r="AR38" s="744"/>
      <c r="AS38" s="744"/>
      <c r="AT38" s="744"/>
      <c r="AU38" s="744"/>
      <c r="AV38" s="744"/>
      <c r="AW38" s="744"/>
      <c r="AX38" s="745"/>
    </row>
    <row r="39" spans="3:50" ht="18" customHeight="1">
      <c r="C39" s="569"/>
      <c r="D39" s="743"/>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744"/>
      <c r="AN39" s="744"/>
      <c r="AO39" s="744"/>
      <c r="AP39" s="744"/>
      <c r="AQ39" s="744"/>
      <c r="AR39" s="744"/>
      <c r="AS39" s="744"/>
      <c r="AT39" s="744"/>
      <c r="AU39" s="744"/>
      <c r="AV39" s="744"/>
      <c r="AW39" s="744"/>
      <c r="AX39" s="745"/>
    </row>
    <row r="40" spans="3:50" ht="18" customHeight="1">
      <c r="C40" s="569"/>
      <c r="D40" s="743"/>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4"/>
      <c r="AJ40" s="744"/>
      <c r="AK40" s="744"/>
      <c r="AL40" s="744"/>
      <c r="AM40" s="744"/>
      <c r="AN40" s="744"/>
      <c r="AO40" s="744"/>
      <c r="AP40" s="744"/>
      <c r="AQ40" s="744"/>
      <c r="AR40" s="744"/>
      <c r="AS40" s="744"/>
      <c r="AT40" s="744"/>
      <c r="AU40" s="744"/>
      <c r="AV40" s="744"/>
      <c r="AW40" s="744"/>
      <c r="AX40" s="745"/>
    </row>
    <row r="41" spans="3:50" ht="18" customHeight="1">
      <c r="C41" s="569"/>
      <c r="D41" s="743"/>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4"/>
      <c r="AP41" s="744"/>
      <c r="AQ41" s="744"/>
      <c r="AR41" s="744"/>
      <c r="AS41" s="744"/>
      <c r="AT41" s="744"/>
      <c r="AU41" s="744"/>
      <c r="AV41" s="744"/>
      <c r="AW41" s="744"/>
      <c r="AX41" s="745"/>
    </row>
    <row r="42" spans="3:50" ht="18" customHeight="1">
      <c r="C42" s="620"/>
      <c r="D42" s="743"/>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5"/>
    </row>
    <row r="43" spans="3:50" ht="18" customHeight="1">
      <c r="C43" s="618"/>
      <c r="D43" s="748"/>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50"/>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F12">
    <cfRule type="cellIs" priority="25" dxfId="286" operator="greaterThan" stopIfTrue="1">
      <formula>100-F9-F11+0.1</formula>
    </cfRule>
  </conditionalFormatting>
  <conditionalFormatting sqref="H12">
    <cfRule type="cellIs" priority="24" dxfId="286" operator="greaterThan" stopIfTrue="1">
      <formula>100-H9-H11+0.1</formula>
    </cfRule>
  </conditionalFormatting>
  <conditionalFormatting sqref="J12">
    <cfRule type="cellIs" priority="23" dxfId="286" operator="greaterThan" stopIfTrue="1">
      <formula>100-J9-J11+0.1</formula>
    </cfRule>
  </conditionalFormatting>
  <conditionalFormatting sqref="L12">
    <cfRule type="cellIs" priority="22" dxfId="286" operator="greaterThan" stopIfTrue="1">
      <formula>100-L9-L11+0.1</formula>
    </cfRule>
  </conditionalFormatting>
  <conditionalFormatting sqref="N12">
    <cfRule type="cellIs" priority="21" dxfId="286" operator="greaterThan" stopIfTrue="1">
      <formula>100-N9-N11+0.1</formula>
    </cfRule>
  </conditionalFormatting>
  <conditionalFormatting sqref="P12">
    <cfRule type="cellIs" priority="20" dxfId="286" operator="greaterThan" stopIfTrue="1">
      <formula>100-P9-P11+0.1</formula>
    </cfRule>
  </conditionalFormatting>
  <conditionalFormatting sqref="R12">
    <cfRule type="cellIs" priority="19" dxfId="286" operator="greaterThan" stopIfTrue="1">
      <formula>100-R9-R11+0.1</formula>
    </cfRule>
  </conditionalFormatting>
  <conditionalFormatting sqref="T12">
    <cfRule type="cellIs" priority="18" dxfId="286" operator="greaterThan" stopIfTrue="1">
      <formula>100-T9-T11+0.1</formula>
    </cfRule>
  </conditionalFormatting>
  <conditionalFormatting sqref="V12">
    <cfRule type="cellIs" priority="17" dxfId="286" operator="greaterThan" stopIfTrue="1">
      <formula>100-V9-V11+0.1</formula>
    </cfRule>
  </conditionalFormatting>
  <conditionalFormatting sqref="X12">
    <cfRule type="cellIs" priority="16" dxfId="286" operator="greaterThan" stopIfTrue="1">
      <formula>100-X9-X11+0.1</formula>
    </cfRule>
  </conditionalFormatting>
  <conditionalFormatting sqref="Z12">
    <cfRule type="cellIs" priority="15" dxfId="286" operator="greaterThan" stopIfTrue="1">
      <formula>100-Z9-Z11+0.1</formula>
    </cfRule>
  </conditionalFormatting>
  <conditionalFormatting sqref="AB12">
    <cfRule type="cellIs" priority="14" dxfId="286" operator="greaterThan" stopIfTrue="1">
      <formula>100-AB9-AB11+0.1</formula>
    </cfRule>
  </conditionalFormatting>
  <conditionalFormatting sqref="AD12">
    <cfRule type="cellIs" priority="13" dxfId="286" operator="greaterThan" stopIfTrue="1">
      <formula>100-AD9-AD11+0.1</formula>
    </cfRule>
  </conditionalFormatting>
  <conditionalFormatting sqref="AF12">
    <cfRule type="cellIs" priority="12" dxfId="286" operator="greaterThan" stopIfTrue="1">
      <formula>100-AF9-AF11+0.1</formula>
    </cfRule>
  </conditionalFormatting>
  <conditionalFormatting sqref="AH12">
    <cfRule type="cellIs" priority="11" dxfId="286" operator="greaterThan" stopIfTrue="1">
      <formula>100-AH9-AH11+0.1</formula>
    </cfRule>
  </conditionalFormatting>
  <conditionalFormatting sqref="AJ12">
    <cfRule type="cellIs" priority="10" dxfId="286" operator="greaterThan" stopIfTrue="1">
      <formula>100-AJ9-AJ11+0.1</formula>
    </cfRule>
  </conditionalFormatting>
  <conditionalFormatting sqref="AL12">
    <cfRule type="cellIs" priority="9" dxfId="286" operator="greaterThan" stopIfTrue="1">
      <formula>100-AL9-AL11+0.1</formula>
    </cfRule>
  </conditionalFormatting>
  <conditionalFormatting sqref="AN12">
    <cfRule type="cellIs" priority="8" dxfId="286" operator="greaterThan" stopIfTrue="1">
      <formula>100-AN9-AN11+0.1</formula>
    </cfRule>
  </conditionalFormatting>
  <conditionalFormatting sqref="AP12">
    <cfRule type="cellIs" priority="7" dxfId="286" operator="greaterThan" stopIfTrue="1">
      <formula>100-AP9-AP11+0.1</formula>
    </cfRule>
  </conditionalFormatting>
  <conditionalFormatting sqref="AR12">
    <cfRule type="cellIs" priority="6" dxfId="286" operator="greaterThan" stopIfTrue="1">
      <formula>100-AR9-AR11+0.1</formula>
    </cfRule>
  </conditionalFormatting>
  <conditionalFormatting sqref="AT12">
    <cfRule type="cellIs" priority="5" dxfId="286" operator="greaterThan" stopIfTrue="1">
      <formula>100-AT9-AT11+0.1</formula>
    </cfRule>
  </conditionalFormatting>
  <conditionalFormatting sqref="AV12">
    <cfRule type="cellIs" priority="4" dxfId="286" operator="greaterThan" stopIfTrue="1">
      <formula>100-AV9-AV11+0.1</formula>
    </cfRule>
  </conditionalFormatting>
  <conditionalFormatting sqref="BX20 BV20 BT20 BR20 CH20 CJ20 CL20 CF20 CB20 BZ20 BB20 CR20 CN20 CP20">
    <cfRule type="cellIs" priority="1" dxfId="286"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286"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286"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2017-11-08T14:53:57Z</dcterms:modified>
  <cp:category/>
  <cp:version/>
  <cp:contentType/>
  <cp:contentStatus/>
</cp:coreProperties>
</file>