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3596" windowHeight="11640" tabRatio="527"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'Diagram'!$A$1:$U$36</definedName>
    <definedName name="_xlnm.Print_Area" localSheetId="4">'W1'!$C$1:$AZ$57</definedName>
    <definedName name="_xlnm.Print_Area" localSheetId="5">'W2'!$C$1:$AX$77</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Titles" localSheetId="2">'Definitions'!$13:$15</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<sst xmlns="http://schemas.openxmlformats.org/spreadsheetml/2006/main" count="1416" uniqueCount="602">
  <si>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</si>
  <si>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</si>
  <si>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</si>
  <si>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</si>
  <si>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</si>
  <si>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</si>
  <si>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</si>
  <si>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</si>
  <si>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</si>
  <si>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</si>
  <si>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</si>
  <si>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</si>
  <si>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</si>
  <si>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</si>
  <si>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</si>
  <si>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</si>
  <si>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</si>
  <si>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</si>
  <si>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</si>
  <si>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</si>
  <si>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</si>
  <si>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</si>
  <si>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</si>
  <si>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</si>
  <si>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</si>
  <si>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</si>
  <si>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</si>
  <si>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</si>
  <si>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</si>
  <si>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</si>
  <si>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</si>
  <si>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</si>
  <si>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</si>
  <si>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</si>
  <si>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</si>
  <si>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</si>
  <si>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</si>
  <si>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</si>
  <si>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</si>
  <si>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</si>
  <si>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</si>
  <si>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</si>
  <si>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</si>
  <si>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</si>
  <si>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</si>
  <si>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</si>
  <si>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</si>
  <si>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</si>
  <si>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</si>
  <si>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</si>
  <si>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</si>
  <si>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</si>
  <si>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</si>
  <si>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</si>
  <si>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</si>
  <si>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</si>
  <si>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</si>
  <si>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</si>
  <si>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</si>
  <si>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</si>
  <si>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</si>
  <si>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</si>
  <si>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</si>
  <si>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</si>
  <si>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</si>
  <si>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</si>
  <si>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</si>
  <si>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</si>
  <si>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</si>
  <si>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</si>
  <si>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</si>
  <si>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</si>
  <si>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</si>
  <si>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</si>
  <si>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</si>
  <si>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</si>
  <si>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</si>
  <si>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</si>
  <si>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</si>
  <si>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</si>
  <si>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</si>
  <si>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</si>
  <si>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</si>
  <si>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</si>
  <si>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</si>
  <si>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</si>
  <si>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</si>
  <si>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</si>
  <si>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</si>
  <si>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</si>
  <si>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</si>
  <si>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</si>
  <si>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</si>
  <si>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</si>
  <si>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</si>
  <si>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</si>
  <si>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</si>
  <si>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</si>
  <si>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</si>
  <si>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</si>
  <si>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</si>
  <si>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</si>
  <si>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</si>
  <si>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</si>
  <si>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</si>
  <si>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</si>
  <si>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</si>
  <si>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</si>
  <si>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</si>
  <si>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</si>
  <si>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</si>
  <si>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</si>
  <si>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</si>
  <si>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</si>
  <si>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</si>
  <si>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</si>
  <si>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</si>
  <si>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</si>
  <si>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</si>
  <si>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</si>
  <si>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</si>
  <si>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</si>
  <si>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</si>
  <si>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</si>
  <si>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</si>
  <si>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</si>
  <si>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</si>
  <si>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</si>
  <si>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</si>
  <si>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</si>
  <si>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</si>
  <si>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</si>
  <si>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</si>
  <si>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</si>
  <si>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</si>
  <si>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</si>
  <si>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</si>
  <si>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</si>
  <si>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</si>
  <si>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</si>
  <si>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</si>
  <si>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</si>
  <si>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</si>
  <si>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</si>
  <si>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</si>
  <si>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</si>
  <si>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</si>
  <si>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</si>
  <si>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</si>
  <si>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</si>
  <si>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</si>
  <si>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</si>
  <si>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</si>
  <si>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</si>
  <si>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</si>
  <si>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</si>
  <si>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</si>
  <si>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</si>
  <si>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</si>
  <si>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</si>
  <si>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</si>
  <si>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</si>
  <si>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</si>
  <si>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</si>
  <si>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</si>
  <si>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</si>
  <si>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</si>
  <si>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</si>
  <si>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</si>
  <si>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</si>
  <si>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</si>
  <si>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</si>
  <si>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</si>
  <si>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</si>
  <si>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</si>
  <si>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</si>
  <si>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</si>
  <si>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</si>
  <si>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</si>
  <si>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</si>
  <si>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</si>
  <si>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</si>
  <si>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</si>
  <si>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</si>
  <si>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</si>
  <si>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</si>
  <si>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</si>
  <si>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</si>
  <si>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</si>
  <si>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</si>
  <si>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</si>
  <si>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</si>
  <si>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</si>
  <si>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</si>
  <si>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</si>
  <si>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</si>
  <si>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</si>
  <si>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</si>
  <si>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</si>
  <si>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</si>
  <si>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</si>
  <si>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</si>
  <si>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</si>
  <si>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</si>
  <si>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</si>
  <si>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</si>
  <si>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</si>
  <si>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</si>
  <si>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</si>
  <si>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</si>
  <si>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</si>
  <si>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</si>
  <si>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</si>
  <si>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</si>
  <si>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</si>
  <si>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</si>
  <si>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</si>
  <si>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</si>
  <si>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</si>
  <si>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</si>
  <si>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</si>
  <si>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</si>
  <si>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</si>
  <si>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</si>
  <si>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</si>
  <si>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</si>
  <si>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</si>
  <si>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</si>
  <si>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</si>
  <si>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</si>
  <si>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</si>
  <si>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</si>
  <si>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</si>
  <si>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</si>
  <si>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</si>
  <si>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</si>
  <si>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</si>
  <si>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</si>
  <si>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</si>
  <si>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</si>
  <si>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</si>
  <si>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</si>
  <si>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</si>
  <si>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</si>
  <si>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</si>
  <si>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</si>
  <si>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</si>
  <si>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</si>
  <si>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</si>
  <si>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</si>
  <si>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</si>
  <si>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</si>
  <si>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</si>
  <si>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</si>
  <si>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</si>
  <si>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</si>
  <si>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</si>
  <si>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</si>
  <si>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</si>
  <si>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</si>
  <si>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</si>
  <si>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</si>
  <si>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</si>
  <si>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</si>
  <si>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</si>
  <si>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</si>
  <si>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</si>
  <si>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</si>
  <si>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</si>
  <si>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</si>
  <si>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</si>
  <si>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</si>
  <si>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</si>
  <si>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</si>
  <si>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</si>
  <si>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</si>
  <si>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</si>
  <si>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</si>
  <si>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</si>
  <si>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</si>
  <si>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</si>
  <si>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</si>
  <si>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</si>
  <si>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</si>
  <si>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</si>
  <si>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</si>
  <si>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</si>
  <si>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</si>
  <si>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</si>
  <si>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</si>
  <si>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</si>
  <si>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</si>
  <si>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</si>
  <si>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</si>
  <si>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</si>
  <si>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</si>
  <si>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</si>
  <si>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</si>
  <si>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</si>
  <si>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</si>
  <si>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</si>
  <si>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</si>
  <si>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</si>
  <si>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</si>
  <si>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</si>
  <si>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</si>
  <si>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</si>
  <si>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</si>
  <si>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</si>
  <si>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</si>
  <si>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</si>
  <si>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</si>
  <si>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</si>
  <si>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</si>
  <si>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</si>
  <si>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</si>
  <si>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</si>
  <si>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</si>
  <si>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</si>
  <si>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</si>
  <si>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</si>
  <si>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</si>
  <si>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</si>
  <si>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</si>
  <si>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</si>
  <si>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</si>
  <si>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</si>
  <si>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</si>
  <si>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</si>
  <si>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</si>
  <si>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</si>
  <si>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</si>
  <si>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</si>
  <si>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</si>
  <si>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</si>
  <si>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</si>
  <si>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</si>
  <si>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</si>
  <si>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</si>
  <si>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</si>
  <si>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</si>
  <si>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</si>
  <si>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</si>
  <si>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</si>
  <si>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</si>
  <si>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</si>
  <si>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</si>
  <si>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</si>
  <si>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</si>
  <si>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</si>
  <si>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</si>
  <si>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</si>
  <si>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</si>
  <si>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</si>
  <si>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</si>
  <si>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</si>
  <si>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</si>
  <si>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</si>
  <si>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</si>
  <si>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</si>
  <si>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</si>
  <si>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</si>
  <si>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</si>
  <si>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</si>
  <si>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</si>
  <si>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</si>
  <si>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</si>
  <si>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</si>
  <si>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</si>
  <si>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</si>
  <si>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</si>
  <si>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</si>
  <si>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</si>
  <si>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</si>
  <si>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</si>
  <si>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</si>
  <si>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</si>
  <si>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</si>
  <si>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</si>
  <si>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</si>
  <si>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</si>
  <si>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</si>
  <si>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</si>
  <si>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</si>
  <si>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</si>
  <si>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</si>
  <si>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</si>
  <si>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</si>
  <si>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</si>
  <si>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</si>
  <si>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</si>
  <si>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</si>
  <si>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</si>
  <si>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</si>
  <si>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</si>
  <si>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</si>
  <si>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</si>
  <si>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</si>
  <si>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</si>
  <si>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</si>
  <si>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</si>
  <si>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</si>
  <si>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</si>
  <si>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</si>
  <si>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</si>
  <si>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</si>
  <si>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</si>
  <si>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</si>
  <si>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</si>
  <si>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</si>
  <si>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</si>
  <si>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</si>
  <si>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</si>
  <si>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</si>
  <si>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</si>
  <si>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</si>
  <si>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</si>
  <si>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</si>
  <si>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</si>
  <si>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</si>
  <si>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</si>
  <si>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</si>
  <si>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</si>
  <si>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</si>
  <si>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</si>
  <si>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</si>
  <si>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</si>
  <si>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</si>
  <si>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</si>
  <si>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</si>
  <si>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</si>
  <si>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</si>
  <si>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</si>
  <si>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</si>
  <si>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</si>
  <si>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</si>
  <si>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</si>
  <si>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</si>
  <si>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</si>
  <si>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</si>
  <si>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</si>
  <si>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</si>
  <si>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</si>
  <si>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</si>
  <si>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</si>
  <si>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</si>
  <si>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</si>
  <si>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</si>
  <si>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</si>
  <si>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</si>
  <si>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</si>
  <si>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</si>
  <si>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</si>
  <si>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</si>
  <si>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</si>
  <si>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</si>
  <si>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</si>
  <si>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</si>
  <si>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</si>
  <si>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</si>
  <si>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</si>
  <si>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</si>
  <si>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</si>
  <si>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</si>
  <si>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</si>
  <si>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</si>
  <si>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</si>
  <si>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</si>
  <si>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</si>
  <si>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</si>
  <si>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</si>
  <si>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</si>
  <si>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</si>
  <si>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</si>
  <si>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</si>
  <si>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</si>
  <si>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</si>
  <si>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</si>
  <si>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</si>
  <si>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</si>
  <si>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</si>
  <si>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</si>
  <si>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</si>
  <si>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</si>
  <si>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</si>
  <si>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</si>
  <si>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</si>
  <si>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</si>
  <si>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</si>
  <si>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</si>
  <si>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</si>
  <si>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</si>
  <si>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</si>
  <si>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</si>
  <si>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</si>
  <si>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</si>
  <si>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</si>
  <si>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</si>
  <si>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</si>
  <si>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</si>
  <si>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</si>
  <si>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</si>
  <si>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</si>
  <si>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</si>
  <si>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</si>
  <si>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</si>
  <si>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</si>
  <si>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</si>
  <si>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</si>
  <si>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</si>
  <si>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</si>
  <si>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</si>
  <si>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</si>
  <si>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</si>
  <si>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</si>
  <si>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</si>
  <si>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</si>
  <si>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</si>
  <si>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</si>
  <si>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</si>
  <si>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</si>
  <si>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</si>
  <si>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</si>
  <si>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</si>
  <si>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</si>
  <si>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</si>
  <si>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</si>
  <si>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</si>
  <si>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</si>
  <si>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</si>
  <si>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</si>
  <si>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</si>
  <si>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</si>
  <si>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</si>
  <si>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</si>
  <si>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</si>
  <si>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</si>
  <si>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</si>
  <si>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</si>
  <si>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</si>
  <si>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</si>
  <si>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</si>
  <si>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</si>
  <si>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</si>
  <si>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</si>
  <si>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</si>
  <si>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</si>
  <si>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</si>
  <si>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</si>
  <si>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</si>
  <si>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</si>
  <si>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</si>
  <si>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</si>
  <si>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</si>
  <si>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</si>
  <si>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</si>
  <si>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</si>
  <si>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</si>
  <si>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</si>
  <si>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</si>
  <si>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</si>
  <si>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</si>
  <si>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</si>
  <si>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</si>
  <si>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</si>
  <si>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</si>
  <si>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</si>
  <si>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</si>
  <si>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</si>
  <si>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</si>
  <si>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</si>
  <si>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</si>
  <si>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</si>
  <si>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</si>
  <si>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</si>
  <si>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</si>
  <si>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</si>
  <si>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</si>
  <si>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</si>
  <si>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</si>
  <si>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</si>
  <si>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</si>
  <si>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</si>
  <si>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of which
used by</t>
  </si>
  <si>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</si>
  <si>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</si>
  <si>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</si>
  <si>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</si>
  <si>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</si>
  <si>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</si>
  <si>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</si>
  <si>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</si>
  <si>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</si>
  <si>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</si>
  <si>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</si>
  <si>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
  </si>
  <si>
    <t>Data can also be viewed/edited for years 1995-2003. Select column G to column Z, right-click, and select "Unhide".</t>
  </si>
  <si>
    <t>Data can also be viewed/edited for years 1995-2003. Select column I to column AB, right-click, and select "Unhide".</t>
  </si>
  <si>
    <t>Time series validation: an automatic check on the percentage change from the previous year (where available). Cases are flagged if changes are not within expected ranges.</t>
  </si>
  <si>
    <t xml:space="preserve">        of which for irrigation in agriculture</t>
  </si>
  <si>
    <t>Coherence validation: check of coherence between variables within the questionnaire or compared to data from outside sources. Cases are flagged if values are not within expected ranges.</t>
  </si>
  <si>
    <t>The Urban Water Supply data in Mozambique tracks the initial Start-up of water systems into Delegated Management Framework (DMF), i.e in 2004 there were 8 water systems in DMF, and  as of 2015 there are currently operating 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</si>
</sst>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thin"/>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86" fillId="0" borderId="0">
      <alignment/>
      <protection/>
    </xf>
    <xf numFmtId="0" fontId="0" fillId="0" borderId="0">
      <alignment/>
      <protection/>
    </xf>
    <xf numFmtId="0" fontId="49"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75">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1"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5"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1" fillId="0" borderId="43"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 fillId="0" borderId="49" xfId="0" applyFont="1" applyFill="1" applyBorder="1" applyAlignment="1" applyProtection="1">
      <alignment vertical="top" wrapText="1"/>
      <protection/>
    </xf>
    <xf numFmtId="0" fontId="2" fillId="0" borderId="48" xfId="0" applyFont="1" applyFill="1" applyBorder="1" applyAlignment="1">
      <alignment vertical="top" wrapText="1"/>
    </xf>
    <xf numFmtId="0" fontId="2" fillId="0" borderId="49" xfId="0" applyNumberFormat="1" applyFont="1" applyFill="1" applyBorder="1" applyAlignment="1">
      <alignment vertical="top" wrapText="1"/>
    </xf>
    <xf numFmtId="0" fontId="3" fillId="0" borderId="16" xfId="0" applyFont="1" applyFill="1" applyBorder="1" applyAlignment="1">
      <alignment vertical="top"/>
    </xf>
    <xf numFmtId="0" fontId="3" fillId="0" borderId="50"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2" xfId="0" applyNumberFormat="1" applyFont="1" applyFill="1" applyBorder="1" applyAlignment="1">
      <alignment vertical="top" wrapText="1"/>
    </xf>
    <xf numFmtId="0" fontId="3" fillId="0" borderId="53" xfId="0" applyFont="1" applyFill="1" applyBorder="1" applyAlignment="1">
      <alignment vertical="top" wrapText="1"/>
    </xf>
    <xf numFmtId="0" fontId="3" fillId="0" borderId="54"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2" xfId="59"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5"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protection/>
    </xf>
    <xf numFmtId="0" fontId="34" fillId="35" borderId="55"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6" xfId="0" applyFont="1" applyFill="1" applyBorder="1" applyAlignment="1" applyProtection="1">
      <alignment horizontal="left" vertical="center" wrapText="1"/>
      <protection/>
    </xf>
    <xf numFmtId="0" fontId="9" fillId="35" borderId="56" xfId="0" applyFont="1" applyFill="1" applyBorder="1" applyAlignment="1" applyProtection="1">
      <alignment horizontal="center" vertical="center" wrapText="1"/>
      <protection/>
    </xf>
    <xf numFmtId="0" fontId="9" fillId="35" borderId="56" xfId="0" applyFont="1" applyFill="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7" xfId="0" applyFont="1" applyBorder="1" applyAlignment="1" applyProtection="1">
      <alignment horizontal="center" vertical="center"/>
      <protection/>
    </xf>
    <xf numFmtId="0" fontId="9" fillId="35" borderId="57" xfId="0" applyFont="1" applyFill="1" applyBorder="1" applyAlignment="1" applyProtection="1">
      <alignment horizontal="center" vertical="center"/>
      <protection/>
    </xf>
    <xf numFmtId="0" fontId="15" fillId="0" borderId="58" xfId="0" applyFont="1" applyFill="1" applyBorder="1" applyAlignment="1" applyProtection="1">
      <alignment vertical="center" wrapText="1"/>
      <protection/>
    </xf>
    <xf numFmtId="0" fontId="15" fillId="35" borderId="58"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5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59"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9" fillId="35" borderId="60" xfId="0" applyFont="1" applyFill="1" applyBorder="1" applyAlignment="1" applyProtection="1">
      <alignment horizontal="center" vertical="center"/>
      <protection/>
    </xf>
    <xf numFmtId="0" fontId="32"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32" fillId="35" borderId="60" xfId="0" applyFont="1" applyFill="1" applyBorder="1" applyAlignment="1" applyProtection="1">
      <alignment horizontal="left" vertical="center" wrapText="1" indent="2"/>
      <protection/>
    </xf>
    <xf numFmtId="0" fontId="0" fillId="35" borderId="60" xfId="0" applyFont="1" applyFill="1" applyBorder="1" applyAlignment="1" applyProtection="1">
      <alignment/>
      <protection/>
    </xf>
    <xf numFmtId="0" fontId="0" fillId="35" borderId="61"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6"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7" xfId="0" applyFont="1" applyFill="1" applyBorder="1" applyAlignment="1" applyProtection="1">
      <alignment horizontal="left" vertical="center" indent="2"/>
      <protection/>
    </xf>
    <xf numFmtId="0" fontId="9" fillId="35" borderId="57" xfId="0" applyFont="1" applyFill="1" applyBorder="1" applyAlignment="1" applyProtection="1">
      <alignment horizontal="left" vertical="center" indent="2"/>
      <protection/>
    </xf>
    <xf numFmtId="0" fontId="15" fillId="35" borderId="57" xfId="0" applyFont="1" applyFill="1" applyBorder="1" applyAlignment="1" applyProtection="1">
      <alignment horizontal="left" vertical="center"/>
      <protection/>
    </xf>
    <xf numFmtId="0" fontId="9" fillId="35" borderId="57"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2" xfId="0" applyFont="1" applyFill="1" applyBorder="1" applyAlignment="1" applyProtection="1">
      <alignment/>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8"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3"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4" xfId="0" applyFont="1" applyFill="1" applyBorder="1" applyAlignment="1" applyProtection="1">
      <alignment horizontal="center" vertical="center"/>
      <protection/>
    </xf>
    <xf numFmtId="0" fontId="9" fillId="35" borderId="65"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7"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5"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7" xfId="0" applyFont="1" applyFill="1" applyBorder="1" applyAlignment="1" applyProtection="1">
      <alignment/>
      <protection/>
    </xf>
    <xf numFmtId="0" fontId="9" fillId="35" borderId="32" xfId="0" applyFont="1" applyFill="1" applyBorder="1" applyAlignment="1" applyProtection="1">
      <alignment/>
      <protection/>
    </xf>
    <xf numFmtId="0" fontId="9" fillId="35" borderId="68" xfId="0" applyFont="1" applyFill="1" applyBorder="1" applyAlignment="1" applyProtection="1">
      <alignment/>
      <protection/>
    </xf>
    <xf numFmtId="0" fontId="9" fillId="35" borderId="68"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9" fillId="35" borderId="67"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7" xfId="0" applyFont="1" applyFill="1" applyBorder="1" applyAlignment="1" applyProtection="1">
      <alignment/>
      <protection/>
    </xf>
    <xf numFmtId="0" fontId="9" fillId="35" borderId="65" xfId="0" applyFont="1" applyFill="1" applyBorder="1" applyAlignment="1" applyProtection="1">
      <alignment/>
      <protection/>
    </xf>
    <xf numFmtId="0" fontId="9" fillId="35" borderId="65"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0"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1" xfId="0" applyFont="1" applyFill="1" applyBorder="1" applyAlignment="1" applyProtection="1">
      <alignment/>
      <protection/>
    </xf>
    <xf numFmtId="0" fontId="9" fillId="35" borderId="72" xfId="0" applyFont="1" applyFill="1" applyBorder="1" applyAlignment="1" applyProtection="1">
      <alignment/>
      <protection/>
    </xf>
    <xf numFmtId="0" fontId="9" fillId="35" borderId="29" xfId="0" applyFont="1" applyFill="1" applyBorder="1" applyAlignment="1" applyProtection="1">
      <alignment/>
      <protection/>
    </xf>
    <xf numFmtId="0" fontId="9" fillId="35" borderId="73"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5"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53" fillId="35" borderId="29" xfId="0" applyFont="1" applyFill="1" applyBorder="1" applyAlignment="1" applyProtection="1">
      <alignment horizontal="right" vertical="center" wrapText="1"/>
      <protection/>
    </xf>
    <xf numFmtId="0" fontId="2" fillId="0" borderId="76"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10" fillId="35" borderId="31"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78"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5"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5"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0"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1" xfId="0"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6" xfId="0" applyFont="1" applyBorder="1" applyAlignment="1" applyProtection="1">
      <alignment horizontal="left" wrapText="1"/>
      <protection locked="0"/>
    </xf>
    <xf numFmtId="0" fontId="2" fillId="0" borderId="34" xfId="0" applyFont="1" applyBorder="1" applyAlignment="1">
      <alignment horizontal="left" wrapText="1"/>
    </xf>
    <xf numFmtId="0" fontId="2" fillId="0" borderId="79"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8"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7"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9" fillId="38" borderId="57" xfId="0" applyFont="1" applyFill="1" applyBorder="1" applyAlignment="1" applyProtection="1">
      <alignment horizontal="center" vertical="center"/>
      <protection/>
    </xf>
    <xf numFmtId="0" fontId="15" fillId="38" borderId="27" xfId="0" applyFont="1" applyFill="1" applyBorder="1" applyAlignment="1" applyProtection="1">
      <alignment horizontal="left" vertical="center" wrapText="1"/>
      <protection/>
    </xf>
    <xf numFmtId="0" fontId="9" fillId="38" borderId="29" xfId="0" applyFont="1" applyFill="1" applyBorder="1" applyAlignment="1" applyProtection="1">
      <alignment horizontal="center" vertical="center"/>
      <protection/>
    </xf>
    <xf numFmtId="0" fontId="9" fillId="38" borderId="27" xfId="0" applyFont="1" applyFill="1" applyBorder="1" applyAlignment="1" applyProtection="1">
      <alignment horizontal="center" vertical="center" wrapText="1"/>
      <protection locked="0"/>
    </xf>
    <xf numFmtId="0" fontId="32"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3" fillId="0" borderId="30" xfId="57" applyFont="1" applyBorder="1">
      <alignment/>
      <protection/>
    </xf>
    <xf numFmtId="0" fontId="103" fillId="0" borderId="30" xfId="57" applyFont="1" applyBorder="1" applyAlignment="1">
      <alignment horizontal="right"/>
      <protection/>
    </xf>
    <xf numFmtId="2" fontId="9" fillId="0" borderId="28" xfId="0" applyNumberFormat="1" applyFont="1" applyFill="1" applyBorder="1" applyAlignment="1" applyProtection="1">
      <alignment horizontal="center" vertical="center" wrapText="1"/>
      <protection locked="0"/>
    </xf>
    <xf numFmtId="0" fontId="9" fillId="35" borderId="58"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32" fillId="35" borderId="27"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32" fillId="35" borderId="57" xfId="0" applyFont="1" applyFill="1" applyBorder="1" applyAlignment="1" applyProtection="1">
      <alignment horizontal="left" vertical="center" wrapText="1"/>
      <protection/>
    </xf>
    <xf numFmtId="0" fontId="32" fillId="35" borderId="58"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34" fillId="39" borderId="83" xfId="0" applyNumberFormat="1" applyFont="1" applyFill="1" applyBorder="1" applyAlignment="1" applyProtection="1">
      <alignment horizontal="left" vertical="center"/>
      <protection/>
    </xf>
    <xf numFmtId="0" fontId="5" fillId="39" borderId="83" xfId="0" applyNumberFormat="1" applyFont="1" applyFill="1" applyBorder="1" applyAlignment="1" applyProtection="1">
      <alignment horizontal="center" vertical="center"/>
      <protection/>
    </xf>
    <xf numFmtId="0" fontId="67" fillId="39" borderId="83"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4" fillId="35" borderId="27" xfId="0" applyFont="1" applyFill="1" applyBorder="1" applyAlignment="1" applyProtection="1">
      <alignment horizontal="left" vertical="center" wrapText="1"/>
      <protection/>
    </xf>
    <xf numFmtId="0" fontId="5" fillId="39" borderId="83" xfId="0" applyNumberFormat="1" applyFont="1" applyFill="1" applyBorder="1" applyAlignment="1" applyProtection="1">
      <alignment horizontal="center" vertical="center"/>
      <protection locked="0"/>
    </xf>
    <xf numFmtId="0" fontId="34" fillId="39" borderId="83" xfId="0" applyNumberFormat="1" applyFont="1" applyFill="1" applyBorder="1" applyAlignment="1" applyProtection="1">
      <alignment horizontal="left" vertical="center"/>
      <protection locked="0"/>
    </xf>
    <xf numFmtId="0" fontId="67" fillId="39" borderId="83" xfId="0" applyNumberFormat="1" applyFont="1" applyFill="1" applyBorder="1" applyAlignment="1" applyProtection="1">
      <alignment horizontal="left" vertical="center"/>
      <protection locked="0"/>
    </xf>
    <xf numFmtId="2" fontId="9" fillId="0" borderId="29" xfId="0" applyNumberFormat="1" applyFont="1" applyFill="1" applyBorder="1" applyAlignment="1" applyProtection="1">
      <alignment horizontal="center" vertical="center" wrapText="1"/>
      <protection locked="0"/>
    </xf>
    <xf numFmtId="0" fontId="9" fillId="38" borderId="57" xfId="0" applyFont="1" applyFill="1" applyBorder="1" applyAlignment="1" applyProtection="1">
      <alignment horizontal="right" wrapText="1"/>
      <protection locked="0"/>
    </xf>
    <xf numFmtId="0" fontId="32" fillId="38" borderId="57" xfId="0" applyFont="1" applyFill="1" applyBorder="1" applyAlignment="1" applyProtection="1">
      <alignment horizontal="center" vertical="center" wrapText="1"/>
      <protection locked="0"/>
    </xf>
    <xf numFmtId="0" fontId="9" fillId="35" borderId="70" xfId="0" applyFont="1" applyFill="1" applyBorder="1" applyAlignment="1" applyProtection="1">
      <alignment horizontal="center" vertical="center"/>
      <protection/>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5" xfId="0" applyFont="1" applyFill="1" applyBorder="1" applyAlignment="1">
      <alignment vertical="top" wrapText="1"/>
    </xf>
    <xf numFmtId="0" fontId="0" fillId="0" borderId="35" xfId="0" applyFill="1" applyBorder="1" applyAlignment="1">
      <alignment vertical="top" wrapText="1"/>
    </xf>
    <xf numFmtId="0" fontId="0" fillId="0" borderId="35" xfId="0" applyFill="1" applyBorder="1" applyAlignment="1">
      <alignment/>
    </xf>
    <xf numFmtId="0" fontId="17" fillId="0" borderId="10" xfId="0" applyFont="1" applyBorder="1" applyAlignment="1">
      <alignment horizontal="left" vertical="top"/>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3" fillId="0" borderId="62"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14"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0" fillId="4" borderId="0" xfId="0" applyFont="1" applyFill="1" applyAlignment="1">
      <alignment horizontal="center"/>
    </xf>
    <xf numFmtId="0" fontId="2" fillId="0" borderId="0" xfId="0" applyFont="1" applyFill="1" applyAlignment="1">
      <alignment vertical="center" wrapText="1"/>
    </xf>
    <xf numFmtId="0" fontId="2" fillId="0" borderId="0" xfId="0" applyFont="1" applyFill="1" applyBorder="1" applyAlignment="1">
      <alignment horizontal="left" vertical="top" wrapText="1"/>
    </xf>
    <xf numFmtId="0" fontId="3" fillId="0" borderId="0" xfId="0" applyFont="1" applyFill="1" applyAlignment="1">
      <alignment vertical="top" wrapText="1"/>
    </xf>
    <xf numFmtId="0" fontId="2" fillId="0" borderId="0" xfId="0" applyFont="1" applyFill="1" applyAlignment="1">
      <alignment horizontal="left" vertical="center"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48" xfId="0" applyFont="1" applyFill="1" applyBorder="1" applyAlignment="1">
      <alignment horizontal="center" vertical="center" wrapText="1"/>
    </xf>
    <xf numFmtId="0" fontId="9" fillId="36" borderId="84" xfId="0" applyFont="1" applyFill="1" applyBorder="1" applyAlignment="1">
      <alignment horizontal="center" vertical="center" wrapText="1"/>
    </xf>
    <xf numFmtId="0" fontId="37" fillId="0" borderId="78"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8"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5" xfId="0" applyFont="1" applyFill="1" applyBorder="1" applyAlignment="1">
      <alignment horizontal="center" vertical="center"/>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20"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9" fillId="36" borderId="62" xfId="0" applyFont="1" applyFill="1" applyBorder="1" applyAlignment="1">
      <alignment horizontal="center" vertical="center" wrapText="1"/>
    </xf>
    <xf numFmtId="0" fontId="9" fillId="36" borderId="61" xfId="0" applyFont="1" applyFill="1" applyBorder="1" applyAlignment="1">
      <alignment horizontal="center" vertical="center" wrapText="1"/>
    </xf>
    <xf numFmtId="0" fontId="9" fillId="36" borderId="62" xfId="0" applyFont="1" applyFill="1" applyBorder="1" applyAlignment="1">
      <alignment horizontal="center"/>
    </xf>
    <xf numFmtId="0" fontId="9" fillId="36" borderId="60" xfId="0" applyFont="1" applyFill="1" applyBorder="1" applyAlignment="1">
      <alignment horizontal="center"/>
    </xf>
    <xf numFmtId="0" fontId="9" fillId="36" borderId="61" xfId="0" applyFont="1" applyFill="1" applyBorder="1" applyAlignment="1">
      <alignment horizontal="center"/>
    </xf>
    <xf numFmtId="0" fontId="2" fillId="36" borderId="62"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4" fillId="0" borderId="10" xfId="0" applyFont="1" applyFill="1" applyBorder="1" applyAlignment="1" applyProtection="1">
      <alignment horizontal="left" wrapText="1"/>
      <protection/>
    </xf>
    <xf numFmtId="0" fontId="66" fillId="0" borderId="10" xfId="0" applyFont="1" applyFill="1" applyBorder="1" applyAlignment="1" applyProtection="1">
      <alignment/>
      <protection/>
    </xf>
    <xf numFmtId="0" fontId="66"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9" fillId="0" borderId="0" xfId="0" applyFont="1" applyFill="1" applyAlignment="1" applyProtection="1">
      <alignment horizontal="left" vertical="top" wrapText="1"/>
      <protection/>
    </xf>
    <xf numFmtId="0" fontId="9" fillId="3" borderId="62" xfId="0" applyFont="1" applyFill="1" applyBorder="1" applyAlignment="1" applyProtection="1">
      <alignment horizontal="center" vertical="center" wrapText="1"/>
      <protection/>
    </xf>
    <xf numFmtId="0" fontId="9" fillId="3" borderId="60" xfId="0" applyFont="1" applyFill="1" applyBorder="1" applyAlignment="1" applyProtection="1">
      <alignment horizontal="center" vertical="center" wrapText="1"/>
      <protection/>
    </xf>
    <xf numFmtId="0" fontId="9" fillId="3" borderId="61" xfId="0" applyFont="1" applyFill="1" applyBorder="1" applyAlignment="1" applyProtection="1">
      <alignment horizontal="center" vertical="center" wrapText="1"/>
      <protection/>
    </xf>
    <xf numFmtId="0" fontId="0" fillId="3" borderId="60" xfId="0" applyFont="1" applyFill="1" applyBorder="1" applyAlignment="1" applyProtection="1">
      <alignment horizontal="center" vertical="center" wrapText="1"/>
      <protection/>
    </xf>
    <xf numFmtId="0" fontId="0" fillId="3" borderId="61" xfId="0" applyFont="1" applyFill="1" applyBorder="1" applyAlignment="1" applyProtection="1">
      <alignment horizontal="center" vertical="center" wrapText="1"/>
      <protection/>
    </xf>
    <xf numFmtId="0" fontId="0" fillId="3" borderId="60" xfId="0" applyFill="1" applyBorder="1" applyAlignment="1" applyProtection="1">
      <alignment horizontal="center" vertical="center" wrapText="1"/>
      <protection/>
    </xf>
    <xf numFmtId="0" fontId="0" fillId="3" borderId="61" xfId="0" applyFill="1" applyBorder="1" applyAlignment="1" applyProtection="1">
      <alignment horizontal="center" vertical="center" wrapText="1"/>
      <protection/>
    </xf>
    <xf numFmtId="0" fontId="0" fillId="0" borderId="61" xfId="0" applyBorder="1" applyAlignment="1" applyProtection="1">
      <alignment wrapText="1"/>
      <protection/>
    </xf>
    <xf numFmtId="0" fontId="0" fillId="3" borderId="6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60" fillId="35" borderId="92"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79" xfId="0" applyFont="1" applyBorder="1" applyAlignment="1" applyProtection="1">
      <alignment horizontal="left" wrapText="1"/>
      <protection locked="0"/>
    </xf>
    <xf numFmtId="0" fontId="3" fillId="35" borderId="62" xfId="0" applyFont="1" applyFill="1" applyBorder="1" applyAlignment="1" applyProtection="1">
      <alignment horizontal="center"/>
      <protection/>
    </xf>
    <xf numFmtId="0" fontId="3" fillId="35" borderId="60" xfId="0" applyFont="1" applyFill="1" applyBorder="1" applyAlignment="1" applyProtection="1">
      <alignment horizontal="center"/>
      <protection/>
    </xf>
    <xf numFmtId="0" fontId="3" fillId="35" borderId="61" xfId="0" applyFont="1" applyFill="1" applyBorder="1" applyAlignment="1" applyProtection="1">
      <alignment horizontal="center"/>
      <protection/>
    </xf>
    <xf numFmtId="0" fontId="104" fillId="0" borderId="0" xfId="0" applyFont="1" applyFill="1" applyAlignment="1" applyProtection="1">
      <alignment horizontal="left" vertical="top" wrapText="1"/>
      <protection/>
    </xf>
    <xf numFmtId="0" fontId="9"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protection/>
    </xf>
    <xf numFmtId="0" fontId="0" fillId="0" borderId="35"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7"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0" fillId="3" borderId="60" xfId="0" applyFill="1" applyBorder="1" applyAlignment="1" applyProtection="1">
      <alignment wrapText="1"/>
      <protection/>
    </xf>
    <xf numFmtId="0" fontId="0" fillId="3" borderId="61" xfId="0" applyFill="1" applyBorder="1" applyAlignment="1" applyProtection="1">
      <alignment wrapText="1"/>
      <protection/>
    </xf>
    <xf numFmtId="0" fontId="9" fillId="36" borderId="85" xfId="0" applyFont="1" applyFill="1" applyBorder="1" applyAlignment="1" applyProtection="1">
      <alignment horizontal="center" vertical="center" wrapText="1"/>
      <protection/>
    </xf>
    <xf numFmtId="0" fontId="10" fillId="0" borderId="35" xfId="0" applyFont="1" applyBorder="1" applyAlignment="1">
      <alignment wrapText="1"/>
    </xf>
    <xf numFmtId="0" fontId="10" fillId="0" borderId="86" xfId="0" applyFont="1" applyBorder="1" applyAlignment="1">
      <alignment wrapText="1"/>
    </xf>
    <xf numFmtId="0" fontId="10" fillId="0" borderId="78" xfId="0"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10" fillId="0" borderId="87" xfId="0" applyFont="1" applyBorder="1" applyAlignment="1">
      <alignment wrapText="1"/>
    </xf>
    <xf numFmtId="0" fontId="10" fillId="0" borderId="10" xfId="0" applyFont="1" applyBorder="1" applyAlignment="1">
      <alignment wrapText="1"/>
    </xf>
    <xf numFmtId="0" fontId="10" fillId="0" borderId="88" xfId="0" applyFont="1" applyBorder="1" applyAlignment="1">
      <alignment wrapText="1"/>
    </xf>
    <xf numFmtId="0" fontId="9" fillId="36" borderId="62" xfId="0" applyFont="1" applyFill="1" applyBorder="1" applyAlignment="1" applyProtection="1">
      <alignment horizontal="center" vertical="center" wrapText="1"/>
      <protection/>
    </xf>
    <xf numFmtId="0" fontId="9" fillId="36" borderId="60" xfId="0" applyFont="1" applyFill="1" applyBorder="1" applyAlignment="1" applyProtection="1">
      <alignment horizontal="center" vertical="center" wrapText="1"/>
      <protection/>
    </xf>
    <xf numFmtId="0" fontId="10" fillId="0" borderId="61" xfId="0" applyFont="1" applyBorder="1" applyAlignment="1">
      <alignment wrapText="1"/>
    </xf>
    <xf numFmtId="0" fontId="9" fillId="36" borderId="35" xfId="0" applyFont="1" applyFill="1" applyBorder="1" applyAlignment="1" applyProtection="1">
      <alignment horizontal="center" vertical="center" wrapText="1"/>
      <protection/>
    </xf>
    <xf numFmtId="0" fontId="9" fillId="36" borderId="8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2" fillId="0" borderId="34" xfId="0" applyFont="1" applyBorder="1" applyAlignment="1">
      <alignment horizontal="left" wrapText="1"/>
    </xf>
    <xf numFmtId="0" fontId="2" fillId="0" borderId="79" xfId="0" applyFont="1" applyBorder="1" applyAlignment="1">
      <alignment horizontal="left" wrapText="1"/>
    </xf>
    <xf numFmtId="0" fontId="2" fillId="0" borderId="90" xfId="0" applyFont="1" applyBorder="1" applyAlignment="1">
      <alignment horizontal="left" wrapText="1"/>
    </xf>
    <xf numFmtId="0" fontId="2" fillId="0" borderId="91" xfId="0" applyFont="1"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66" xfId="0" applyFont="1" applyBorder="1" applyAlignment="1">
      <alignment horizontal="left" wrapText="1"/>
    </xf>
    <xf numFmtId="0" fontId="2" fillId="0" borderId="93" xfId="0" applyFont="1" applyBorder="1" applyAlignment="1">
      <alignment horizontal="left" wrapText="1"/>
    </xf>
    <xf numFmtId="0" fontId="0" fillId="0" borderId="34" xfId="0" applyBorder="1" applyAlignment="1">
      <alignment horizontal="left" wrapText="1"/>
    </xf>
    <xf numFmtId="0" fontId="0" fillId="0" borderId="79" xfId="0" applyBorder="1" applyAlignment="1">
      <alignment horizontal="left" wrapText="1"/>
    </xf>
    <xf numFmtId="0" fontId="2" fillId="0" borderId="76" xfId="0" applyFont="1" applyBorder="1" applyAlignment="1" applyProtection="1">
      <alignment horizontal="left" wrapText="1"/>
      <protection locked="0"/>
    </xf>
    <xf numFmtId="0" fontId="2" fillId="0" borderId="73" xfId="0" applyFont="1" applyBorder="1" applyAlignment="1">
      <alignment horizontal="left" wrapText="1"/>
    </xf>
    <xf numFmtId="0" fontId="2" fillId="0" borderId="94" xfId="0" applyFont="1" applyBorder="1" applyAlignment="1">
      <alignment horizontal="left" wrapText="1"/>
    </xf>
    <xf numFmtId="0" fontId="0" fillId="0" borderId="35" xfId="0" applyBorder="1" applyAlignment="1">
      <alignment wrapText="1"/>
    </xf>
    <xf numFmtId="0" fontId="0" fillId="0" borderId="86" xfId="0" applyBorder="1" applyAlignment="1">
      <alignment wrapText="1"/>
    </xf>
    <xf numFmtId="0" fontId="0" fillId="0" borderId="78"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87" xfId="0" applyBorder="1" applyAlignment="1">
      <alignment wrapText="1"/>
    </xf>
    <xf numFmtId="0" fontId="0" fillId="0" borderId="10" xfId="0" applyBorder="1" applyAlignment="1">
      <alignment wrapText="1"/>
    </xf>
    <xf numFmtId="0" fontId="0" fillId="0" borderId="88" xfId="0" applyBorder="1" applyAlignment="1">
      <alignment wrapText="1"/>
    </xf>
    <xf numFmtId="0" fontId="39" fillId="0" borderId="78" xfId="0" applyFont="1" applyBorder="1" applyAlignment="1" applyProtection="1">
      <alignment horizontal="center" vertical="center" wrapText="1"/>
      <protection/>
    </xf>
    <xf numFmtId="0" fontId="10" fillId="0" borderId="0" xfId="0" applyFont="1" applyAlignment="1">
      <alignment wrapText="1"/>
    </xf>
    <xf numFmtId="0" fontId="9" fillId="36" borderId="61" xfId="0" applyFont="1" applyFill="1" applyBorder="1" applyAlignment="1" applyProtection="1">
      <alignment horizontal="center" vertical="center" wrapText="1"/>
      <protection/>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39" fillId="0" borderId="0" xfId="0" applyFont="1" applyFill="1" applyAlignment="1" applyProtection="1">
      <alignment horizontal="center" wrapText="1"/>
      <protection/>
    </xf>
    <xf numFmtId="0" fontId="9" fillId="5" borderId="85"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9" fillId="5" borderId="62" xfId="0" applyFont="1" applyFill="1" applyBorder="1" applyAlignment="1" applyProtection="1">
      <alignment horizontal="center" vertical="center" wrapText="1"/>
      <protection/>
    </xf>
    <xf numFmtId="0" fontId="9" fillId="5" borderId="60" xfId="0" applyFont="1" applyFill="1" applyBorder="1" applyAlignment="1" applyProtection="1">
      <alignment horizontal="center" vertical="center" wrapText="1"/>
      <protection/>
    </xf>
    <xf numFmtId="0" fontId="9" fillId="5" borderId="61"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5" borderId="86" xfId="0" applyFill="1" applyBorder="1" applyAlignment="1" applyProtection="1">
      <alignment horizontal="center" vertical="center"/>
      <protection/>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35"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0" fillId="5" borderId="78"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1"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9" fillId="32" borderId="62" xfId="0" applyFont="1" applyFill="1" applyBorder="1" applyAlignment="1" applyProtection="1">
      <alignment horizontal="center" vertical="center" wrapText="1"/>
      <protection/>
    </xf>
    <xf numFmtId="0" fontId="9" fillId="32" borderId="60" xfId="0" applyFont="1" applyFill="1" applyBorder="1" applyAlignment="1" applyProtection="1">
      <alignment horizontal="center" vertical="center" wrapText="1"/>
      <protection/>
    </xf>
    <xf numFmtId="0" fontId="9" fillId="32" borderId="61" xfId="0" applyFont="1" applyFill="1" applyBorder="1" applyAlignment="1" applyProtection="1">
      <alignment horizontal="center" vertical="center" wrapText="1"/>
      <protection/>
    </xf>
    <xf numFmtId="0" fontId="5" fillId="32" borderId="85"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9" fillId="0" borderId="3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79" xfId="0" applyFont="1" applyBorder="1" applyAlignment="1" applyProtection="1">
      <alignment wrapText="1"/>
      <protection locked="0"/>
    </xf>
    <xf numFmtId="0" fontId="0" fillId="0" borderId="34" xfId="0" applyBorder="1" applyAlignment="1" applyProtection="1">
      <alignment wrapText="1"/>
      <protection locked="0"/>
    </xf>
    <xf numFmtId="0" fontId="0" fillId="0" borderId="79" xfId="0" applyBorder="1" applyAlignment="1" applyProtection="1">
      <alignment wrapText="1"/>
      <protection locked="0"/>
    </xf>
    <xf numFmtId="0" fontId="9" fillId="0" borderId="77" xfId="0" applyFont="1" applyBorder="1" applyAlignment="1" applyProtection="1">
      <alignment wrapText="1"/>
      <protection locked="0"/>
    </xf>
    <xf numFmtId="0" fontId="0" fillId="0" borderId="66" xfId="0" applyBorder="1" applyAlignment="1" applyProtection="1">
      <alignment wrapText="1"/>
      <protection locked="0"/>
    </xf>
    <xf numFmtId="0" fontId="0" fillId="0" borderId="93" xfId="0" applyBorder="1" applyAlignment="1" applyProtection="1">
      <alignment wrapText="1"/>
      <protection locked="0"/>
    </xf>
    <xf numFmtId="0" fontId="3" fillId="35" borderId="62"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2"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9" fillId="0" borderId="62" xfId="0" applyFont="1" applyBorder="1" applyAlignment="1">
      <alignment horizontal="left" wrapText="1"/>
    </xf>
    <xf numFmtId="0" fontId="9" fillId="0" borderId="60" xfId="0" applyFont="1" applyBorder="1" applyAlignment="1">
      <alignment horizontal="left" wrapText="1"/>
    </xf>
    <xf numFmtId="0" fontId="9" fillId="0" borderId="61"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3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295275</xdr:rowOff>
    </xdr:from>
    <xdr:to>
      <xdr:col>10</xdr:col>
      <xdr:colOff>257175</xdr:colOff>
      <xdr:row>18</xdr:row>
      <xdr:rowOff>295275</xdr:rowOff>
    </xdr:to>
    <xdr:sp>
      <xdr:nvSpPr>
        <xdr:cNvPr id="1" name="Line 4"/>
        <xdr:cNvSpPr>
          <a:spLocks/>
        </xdr:cNvSpPr>
      </xdr:nvSpPr>
      <xdr:spPr>
        <a:xfrm flipV="1">
          <a:off x="7105650" y="57245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2" name="Line 7"/>
        <xdr:cNvSpPr>
          <a:spLocks/>
        </xdr:cNvSpPr>
      </xdr:nvSpPr>
      <xdr:spPr>
        <a:xfrm flipV="1">
          <a:off x="1485900" y="28384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3" name="Line 8"/>
        <xdr:cNvSpPr>
          <a:spLocks/>
        </xdr:cNvSpPr>
      </xdr:nvSpPr>
      <xdr:spPr>
        <a:xfrm>
          <a:off x="30575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18</xdr:row>
      <xdr:rowOff>276225</xdr:rowOff>
    </xdr:from>
    <xdr:to>
      <xdr:col>10</xdr:col>
      <xdr:colOff>219075</xdr:colOff>
      <xdr:row>24</xdr:row>
      <xdr:rowOff>247650</xdr:rowOff>
    </xdr:to>
    <xdr:sp>
      <xdr:nvSpPr>
        <xdr:cNvPr id="4" name="Line 9"/>
        <xdr:cNvSpPr>
          <a:spLocks/>
        </xdr:cNvSpPr>
      </xdr:nvSpPr>
      <xdr:spPr>
        <a:xfrm flipH="1">
          <a:off x="7439025" y="5705475"/>
          <a:ext cx="9525" cy="2066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8</xdr:col>
      <xdr:colOff>561975</xdr:colOff>
      <xdr:row>15</xdr:row>
      <xdr:rowOff>190500</xdr:rowOff>
    </xdr:to>
    <xdr:sp>
      <xdr:nvSpPr>
        <xdr:cNvPr id="5" name="Line 10"/>
        <xdr:cNvSpPr>
          <a:spLocks/>
        </xdr:cNvSpPr>
      </xdr:nvSpPr>
      <xdr:spPr>
        <a:xfrm flipH="1" flipV="1">
          <a:off x="800100" y="40005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219075</xdr:rowOff>
    </xdr:to>
    <xdr:sp>
      <xdr:nvSpPr>
        <xdr:cNvPr id="6" name="Line 14"/>
        <xdr:cNvSpPr>
          <a:spLocks/>
        </xdr:cNvSpPr>
      </xdr:nvSpPr>
      <xdr:spPr>
        <a:xfrm flipV="1">
          <a:off x="3657600" y="281940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323850</xdr:rowOff>
    </xdr:from>
    <xdr:to>
      <xdr:col>17</xdr:col>
      <xdr:colOff>28575</xdr:colOff>
      <xdr:row>28</xdr:row>
      <xdr:rowOff>295275</xdr:rowOff>
    </xdr:to>
    <xdr:sp>
      <xdr:nvSpPr>
        <xdr:cNvPr id="7" name="Line 35"/>
        <xdr:cNvSpPr>
          <a:spLocks/>
        </xdr:cNvSpPr>
      </xdr:nvSpPr>
      <xdr:spPr>
        <a:xfrm flipH="1" flipV="1">
          <a:off x="12296775" y="645795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26</xdr:row>
      <xdr:rowOff>152400</xdr:rowOff>
    </xdr:from>
    <xdr:to>
      <xdr:col>9</xdr:col>
      <xdr:colOff>123825</xdr:colOff>
      <xdr:row>26</xdr:row>
      <xdr:rowOff>152400</xdr:rowOff>
    </xdr:to>
    <xdr:sp>
      <xdr:nvSpPr>
        <xdr:cNvPr id="8" name="Line 49"/>
        <xdr:cNvSpPr>
          <a:spLocks/>
        </xdr:cNvSpPr>
      </xdr:nvSpPr>
      <xdr:spPr>
        <a:xfrm flipV="1">
          <a:off x="72294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27</xdr:row>
      <xdr:rowOff>0</xdr:rowOff>
    </xdr:from>
    <xdr:to>
      <xdr:col>21</xdr:col>
      <xdr:colOff>0</xdr:colOff>
      <xdr:row>27</xdr:row>
      <xdr:rowOff>0</xdr:rowOff>
    </xdr:to>
    <xdr:sp>
      <xdr:nvSpPr>
        <xdr:cNvPr id="9" name="Line 56"/>
        <xdr:cNvSpPr>
          <a:spLocks/>
        </xdr:cNvSpPr>
      </xdr:nvSpPr>
      <xdr:spPr>
        <a:xfrm flipV="1">
          <a:off x="1452562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28</xdr:row>
      <xdr:rowOff>9525</xdr:rowOff>
    </xdr:from>
    <xdr:to>
      <xdr:col>21</xdr:col>
      <xdr:colOff>0</xdr:colOff>
      <xdr:row>28</xdr:row>
      <xdr:rowOff>9525</xdr:rowOff>
    </xdr:to>
    <xdr:sp>
      <xdr:nvSpPr>
        <xdr:cNvPr id="10" name="Line 57"/>
        <xdr:cNvSpPr>
          <a:spLocks/>
        </xdr:cNvSpPr>
      </xdr:nvSpPr>
      <xdr:spPr>
        <a:xfrm>
          <a:off x="1452562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20</xdr:row>
      <xdr:rowOff>276225</xdr:rowOff>
    </xdr:from>
    <xdr:to>
      <xdr:col>10</xdr:col>
      <xdr:colOff>200025</xdr:colOff>
      <xdr:row>20</xdr:row>
      <xdr:rowOff>276225</xdr:rowOff>
    </xdr:to>
    <xdr:sp>
      <xdr:nvSpPr>
        <xdr:cNvPr id="11" name="Line 73"/>
        <xdr:cNvSpPr>
          <a:spLocks/>
        </xdr:cNvSpPr>
      </xdr:nvSpPr>
      <xdr:spPr>
        <a:xfrm flipV="1">
          <a:off x="7115175" y="64103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3" name="Line 203"/>
        <xdr:cNvSpPr>
          <a:spLocks/>
        </xdr:cNvSpPr>
      </xdr:nvSpPr>
      <xdr:spPr>
        <a:xfrm flipV="1">
          <a:off x="4105275" y="166687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219075</xdr:colOff>
      <xdr:row>22</xdr:row>
      <xdr:rowOff>209550</xdr:rowOff>
    </xdr:from>
    <xdr:to>
      <xdr:col>11</xdr:col>
      <xdr:colOff>142875</xdr:colOff>
      <xdr:row>22</xdr:row>
      <xdr:rowOff>209550</xdr:rowOff>
    </xdr:to>
    <xdr:sp>
      <xdr:nvSpPr>
        <xdr:cNvPr id="14" name="Line 204"/>
        <xdr:cNvSpPr>
          <a:spLocks/>
        </xdr:cNvSpPr>
      </xdr:nvSpPr>
      <xdr:spPr>
        <a:xfrm flipV="1">
          <a:off x="7448550" y="70389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5" name="Line 205"/>
        <xdr:cNvSpPr>
          <a:spLocks/>
        </xdr:cNvSpPr>
      </xdr:nvSpPr>
      <xdr:spPr>
        <a:xfrm>
          <a:off x="3067050" y="32289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6" name="Line 206"/>
        <xdr:cNvSpPr>
          <a:spLocks/>
        </xdr:cNvSpPr>
      </xdr:nvSpPr>
      <xdr:spPr>
        <a:xfrm>
          <a:off x="80962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7" name="Line 207"/>
        <xdr:cNvSpPr>
          <a:spLocks/>
        </xdr:cNvSpPr>
      </xdr:nvSpPr>
      <xdr:spPr>
        <a:xfrm>
          <a:off x="1790700"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8" name="Line 208"/>
        <xdr:cNvSpPr>
          <a:spLocks/>
        </xdr:cNvSpPr>
      </xdr:nvSpPr>
      <xdr:spPr>
        <a:xfrm>
          <a:off x="2952750"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9" name="Line 209"/>
        <xdr:cNvSpPr>
          <a:spLocks/>
        </xdr:cNvSpPr>
      </xdr:nvSpPr>
      <xdr:spPr>
        <a:xfrm>
          <a:off x="4171950" y="398145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20" name="Line 210"/>
        <xdr:cNvSpPr>
          <a:spLocks/>
        </xdr:cNvSpPr>
      </xdr:nvSpPr>
      <xdr:spPr>
        <a:xfrm>
          <a:off x="5295900" y="40195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1" name="Line 211"/>
        <xdr:cNvSpPr>
          <a:spLocks/>
        </xdr:cNvSpPr>
      </xdr:nvSpPr>
      <xdr:spPr>
        <a:xfrm>
          <a:off x="64389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2" name="Line 212"/>
        <xdr:cNvSpPr>
          <a:spLocks/>
        </xdr:cNvSpPr>
      </xdr:nvSpPr>
      <xdr:spPr>
        <a:xfrm>
          <a:off x="8286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3" name="Line 213"/>
        <xdr:cNvSpPr>
          <a:spLocks/>
        </xdr:cNvSpPr>
      </xdr:nvSpPr>
      <xdr:spPr>
        <a:xfrm>
          <a:off x="18192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4" name="Line 214"/>
        <xdr:cNvSpPr>
          <a:spLocks/>
        </xdr:cNvSpPr>
      </xdr:nvSpPr>
      <xdr:spPr>
        <a:xfrm>
          <a:off x="29718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5" name="Line 215"/>
        <xdr:cNvSpPr>
          <a:spLocks/>
        </xdr:cNvSpPr>
      </xdr:nvSpPr>
      <xdr:spPr>
        <a:xfrm>
          <a:off x="420052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6" name="Line 216"/>
        <xdr:cNvSpPr>
          <a:spLocks/>
        </xdr:cNvSpPr>
      </xdr:nvSpPr>
      <xdr:spPr>
        <a:xfrm flipH="1">
          <a:off x="532447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7" name="Line 217"/>
        <xdr:cNvSpPr>
          <a:spLocks/>
        </xdr:cNvSpPr>
      </xdr:nvSpPr>
      <xdr:spPr>
        <a:xfrm>
          <a:off x="64770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22</xdr:row>
      <xdr:rowOff>304800</xdr:rowOff>
    </xdr:from>
    <xdr:to>
      <xdr:col>10</xdr:col>
      <xdr:colOff>200025</xdr:colOff>
      <xdr:row>22</xdr:row>
      <xdr:rowOff>304800</xdr:rowOff>
    </xdr:to>
    <xdr:sp>
      <xdr:nvSpPr>
        <xdr:cNvPr id="28" name="Line 218"/>
        <xdr:cNvSpPr>
          <a:spLocks/>
        </xdr:cNvSpPr>
      </xdr:nvSpPr>
      <xdr:spPr>
        <a:xfrm>
          <a:off x="71056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1219200</xdr:colOff>
      <xdr:row>24</xdr:row>
      <xdr:rowOff>257175</xdr:rowOff>
    </xdr:from>
    <xdr:to>
      <xdr:col>10</xdr:col>
      <xdr:colOff>209550</xdr:colOff>
      <xdr:row>24</xdr:row>
      <xdr:rowOff>257175</xdr:rowOff>
    </xdr:to>
    <xdr:sp>
      <xdr:nvSpPr>
        <xdr:cNvPr id="29" name="Line 219"/>
        <xdr:cNvSpPr>
          <a:spLocks/>
        </xdr:cNvSpPr>
      </xdr:nvSpPr>
      <xdr:spPr>
        <a:xfrm>
          <a:off x="7096125" y="77819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22</xdr:row>
      <xdr:rowOff>247650</xdr:rowOff>
    </xdr:from>
    <xdr:to>
      <xdr:col>13</xdr:col>
      <xdr:colOff>390525</xdr:colOff>
      <xdr:row>25</xdr:row>
      <xdr:rowOff>66675</xdr:rowOff>
    </xdr:to>
    <xdr:sp>
      <xdr:nvSpPr>
        <xdr:cNvPr id="30" name="Line 223"/>
        <xdr:cNvSpPr>
          <a:spLocks/>
        </xdr:cNvSpPr>
      </xdr:nvSpPr>
      <xdr:spPr>
        <a:xfrm>
          <a:off x="9610725" y="707707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xdr:colOff>
      <xdr:row>22</xdr:row>
      <xdr:rowOff>209550</xdr:rowOff>
    </xdr:from>
    <xdr:to>
      <xdr:col>14</xdr:col>
      <xdr:colOff>0</xdr:colOff>
      <xdr:row>22</xdr:row>
      <xdr:rowOff>219075</xdr:rowOff>
    </xdr:to>
    <xdr:sp>
      <xdr:nvSpPr>
        <xdr:cNvPr id="31" name="Line 224"/>
        <xdr:cNvSpPr>
          <a:spLocks/>
        </xdr:cNvSpPr>
      </xdr:nvSpPr>
      <xdr:spPr>
        <a:xfrm flipV="1">
          <a:off x="9248775" y="70389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190500</xdr:rowOff>
    </xdr:from>
    <xdr:to>
      <xdr:col>17</xdr:col>
      <xdr:colOff>38100</xdr:colOff>
      <xdr:row>22</xdr:row>
      <xdr:rowOff>190500</xdr:rowOff>
    </xdr:to>
    <xdr:sp>
      <xdr:nvSpPr>
        <xdr:cNvPr id="32" name="Line 230"/>
        <xdr:cNvSpPr>
          <a:spLocks/>
        </xdr:cNvSpPr>
      </xdr:nvSpPr>
      <xdr:spPr>
        <a:xfrm flipV="1">
          <a:off x="11106150"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24</xdr:row>
      <xdr:rowOff>266700</xdr:rowOff>
    </xdr:from>
    <xdr:to>
      <xdr:col>18</xdr:col>
      <xdr:colOff>0</xdr:colOff>
      <xdr:row>24</xdr:row>
      <xdr:rowOff>266700</xdr:rowOff>
    </xdr:to>
    <xdr:sp>
      <xdr:nvSpPr>
        <xdr:cNvPr id="33" name="Line 231"/>
        <xdr:cNvSpPr>
          <a:spLocks/>
        </xdr:cNvSpPr>
      </xdr:nvSpPr>
      <xdr:spPr>
        <a:xfrm>
          <a:off x="12287250"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26</xdr:row>
      <xdr:rowOff>285750</xdr:rowOff>
    </xdr:from>
    <xdr:to>
      <xdr:col>17</xdr:col>
      <xdr:colOff>323850</xdr:colOff>
      <xdr:row>26</xdr:row>
      <xdr:rowOff>285750</xdr:rowOff>
    </xdr:to>
    <xdr:sp>
      <xdr:nvSpPr>
        <xdr:cNvPr id="34" name="Line 232"/>
        <xdr:cNvSpPr>
          <a:spLocks/>
        </xdr:cNvSpPr>
      </xdr:nvSpPr>
      <xdr:spPr>
        <a:xfrm>
          <a:off x="12296775" y="85058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28575</xdr:colOff>
      <xdr:row>28</xdr:row>
      <xdr:rowOff>276225</xdr:rowOff>
    </xdr:from>
    <xdr:to>
      <xdr:col>18</xdr:col>
      <xdr:colOff>0</xdr:colOff>
      <xdr:row>28</xdr:row>
      <xdr:rowOff>276225</xdr:rowOff>
    </xdr:to>
    <xdr:sp>
      <xdr:nvSpPr>
        <xdr:cNvPr id="35" name="Line 233"/>
        <xdr:cNvSpPr>
          <a:spLocks/>
        </xdr:cNvSpPr>
      </xdr:nvSpPr>
      <xdr:spPr>
        <a:xfrm>
          <a:off x="12306300" y="92202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0</xdr:rowOff>
    </xdr:from>
    <xdr:to>
      <xdr:col>6</xdr:col>
      <xdr:colOff>190500</xdr:colOff>
      <xdr:row>15</xdr:row>
      <xdr:rowOff>180975</xdr:rowOff>
    </xdr:to>
    <xdr:sp>
      <xdr:nvSpPr>
        <xdr:cNvPr id="36" name="Line 247"/>
        <xdr:cNvSpPr>
          <a:spLocks/>
        </xdr:cNvSpPr>
      </xdr:nvSpPr>
      <xdr:spPr>
        <a:xfrm flipH="1" flipV="1">
          <a:off x="3838575"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304800</xdr:rowOff>
    </xdr:from>
    <xdr:to>
      <xdr:col>18</xdr:col>
      <xdr:colOff>9525</xdr:colOff>
      <xdr:row>22</xdr:row>
      <xdr:rowOff>314325</xdr:rowOff>
    </xdr:to>
    <xdr:sp>
      <xdr:nvSpPr>
        <xdr:cNvPr id="37" name="Line 248"/>
        <xdr:cNvSpPr>
          <a:spLocks/>
        </xdr:cNvSpPr>
      </xdr:nvSpPr>
      <xdr:spPr>
        <a:xfrm flipV="1">
          <a:off x="12296775" y="71342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1066800</xdr:colOff>
      <xdr:row>10</xdr:row>
      <xdr:rowOff>152400</xdr:rowOff>
    </xdr:to>
    <xdr:sp>
      <xdr:nvSpPr>
        <xdr:cNvPr id="38" name="Line 14"/>
        <xdr:cNvSpPr>
          <a:spLocks/>
        </xdr:cNvSpPr>
      </xdr:nvSpPr>
      <xdr:spPr>
        <a:xfrm flipV="1">
          <a:off x="5076825" y="23907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9" name="Line 14"/>
        <xdr:cNvSpPr>
          <a:spLocks/>
        </xdr:cNvSpPr>
      </xdr:nvSpPr>
      <xdr:spPr>
        <a:xfrm flipV="1">
          <a:off x="5076825" y="23717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1085850</xdr:colOff>
      <xdr:row>12</xdr:row>
      <xdr:rowOff>161925</xdr:rowOff>
    </xdr:to>
    <xdr:sp>
      <xdr:nvSpPr>
        <xdr:cNvPr id="40" name="Line 14"/>
        <xdr:cNvSpPr>
          <a:spLocks/>
        </xdr:cNvSpPr>
      </xdr:nvSpPr>
      <xdr:spPr>
        <a:xfrm flipV="1">
          <a:off x="5095875" y="33718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533400</xdr:colOff>
      <xdr:row>71</xdr:row>
      <xdr:rowOff>142875</xdr:rowOff>
    </xdr:from>
    <xdr:to>
      <xdr:col>41</xdr:col>
      <xdr:colOff>9525</xdr:colOff>
      <xdr:row>71</xdr:row>
      <xdr:rowOff>142875</xdr:rowOff>
    </xdr:to>
    <xdr:sp>
      <xdr:nvSpPr>
        <xdr:cNvPr id="41" name="Line 231"/>
        <xdr:cNvSpPr>
          <a:spLocks/>
        </xdr:cNvSpPr>
      </xdr:nvSpPr>
      <xdr:spPr>
        <a:xfrm flipV="1">
          <a:off x="24755475" y="15868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333375</xdr:rowOff>
    </xdr:from>
    <xdr:to>
      <xdr:col>18</xdr:col>
      <xdr:colOff>9525</xdr:colOff>
      <xdr:row>20</xdr:row>
      <xdr:rowOff>342900</xdr:rowOff>
    </xdr:to>
    <xdr:sp>
      <xdr:nvSpPr>
        <xdr:cNvPr id="42" name="Line 248"/>
        <xdr:cNvSpPr>
          <a:spLocks/>
        </xdr:cNvSpPr>
      </xdr:nvSpPr>
      <xdr:spPr>
        <a:xfrm flipV="1">
          <a:off x="12296775" y="64674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7810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7067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5229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7067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8296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8286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8296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5391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00990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02895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0990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01942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238125</xdr:colOff>
      <xdr:row>47</xdr:row>
      <xdr:rowOff>200025</xdr:rowOff>
    </xdr:to>
    <xdr:sp>
      <xdr:nvSpPr>
        <xdr:cNvPr id="5" name="Line 21"/>
        <xdr:cNvSpPr>
          <a:spLocks/>
        </xdr:cNvSpPr>
      </xdr:nvSpPr>
      <xdr:spPr>
        <a:xfrm flipV="1">
          <a:off x="301942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00990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152400</xdr:rowOff>
    </xdr:to>
    <xdr:sp>
      <xdr:nvSpPr>
        <xdr:cNvPr id="7" name="Line 18"/>
        <xdr:cNvSpPr>
          <a:spLocks/>
        </xdr:cNvSpPr>
      </xdr:nvSpPr>
      <xdr:spPr>
        <a:xfrm flipH="1">
          <a:off x="5229225"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5048250"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5057775"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5057775"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5048250"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390525</xdr:colOff>
      <xdr:row>43</xdr:row>
      <xdr:rowOff>104775</xdr:rowOff>
    </xdr:to>
    <xdr:sp>
      <xdr:nvSpPr>
        <xdr:cNvPr id="12" name="Line 21"/>
        <xdr:cNvSpPr>
          <a:spLocks/>
        </xdr:cNvSpPr>
      </xdr:nvSpPr>
      <xdr:spPr>
        <a:xfrm flipV="1">
          <a:off x="5238750"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25755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6591300"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180975</xdr:rowOff>
    </xdr:from>
    <xdr:to>
      <xdr:col>41</xdr:col>
      <xdr:colOff>104775</xdr:colOff>
      <xdr:row>42</xdr:row>
      <xdr:rowOff>180975</xdr:rowOff>
    </xdr:to>
    <xdr:sp>
      <xdr:nvSpPr>
        <xdr:cNvPr id="15" name="Line 21"/>
        <xdr:cNvSpPr>
          <a:spLocks/>
        </xdr:cNvSpPr>
      </xdr:nvSpPr>
      <xdr:spPr>
        <a:xfrm flipV="1">
          <a:off x="7686675"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200025</xdr:rowOff>
    </xdr:to>
    <xdr:sp>
      <xdr:nvSpPr>
        <xdr:cNvPr id="16" name="Line 18"/>
        <xdr:cNvSpPr>
          <a:spLocks/>
        </xdr:cNvSpPr>
      </xdr:nvSpPr>
      <xdr:spPr>
        <a:xfrm flipH="1">
          <a:off x="8258175"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8258175"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8267700"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200025</xdr:rowOff>
    </xdr:from>
    <xdr:to>
      <xdr:col>42</xdr:col>
      <xdr:colOff>0</xdr:colOff>
      <xdr:row>47</xdr:row>
      <xdr:rowOff>200025</xdr:rowOff>
    </xdr:to>
    <xdr:sp>
      <xdr:nvSpPr>
        <xdr:cNvPr id="19" name="Line 21"/>
        <xdr:cNvSpPr>
          <a:spLocks/>
        </xdr:cNvSpPr>
      </xdr:nvSpPr>
      <xdr:spPr>
        <a:xfrm flipV="1">
          <a:off x="8258175"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257175</xdr:rowOff>
    </xdr:from>
    <xdr:to>
      <xdr:col>42</xdr:col>
      <xdr:colOff>0</xdr:colOff>
      <xdr:row>43</xdr:row>
      <xdr:rowOff>257175</xdr:rowOff>
    </xdr:to>
    <xdr:sp>
      <xdr:nvSpPr>
        <xdr:cNvPr id="20" name="Line 21"/>
        <xdr:cNvSpPr>
          <a:spLocks/>
        </xdr:cNvSpPr>
      </xdr:nvSpPr>
      <xdr:spPr>
        <a:xfrm flipV="1">
          <a:off x="8267700"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8277225"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6791325"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457700" y="68389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733925" y="6838950"/>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6000750" y="6867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905625" y="6219825"/>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905625" y="62293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905625" y="6600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896100" y="70199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915150" y="7419975"/>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896100" y="77914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25</xdr:col>
      <xdr:colOff>38100</xdr:colOff>
      <xdr:row>34</xdr:row>
      <xdr:rowOff>19050</xdr:rowOff>
    </xdr:to>
    <xdr:sp>
      <xdr:nvSpPr>
        <xdr:cNvPr id="1" name="Line 18"/>
        <xdr:cNvSpPr>
          <a:spLocks/>
        </xdr:cNvSpPr>
      </xdr:nvSpPr>
      <xdr:spPr>
        <a:xfrm flipH="1">
          <a:off x="3019425" y="8353425"/>
          <a:ext cx="1162050" cy="1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7324725"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6162675"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7324725"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7334250"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7334250"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7334250"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2" customWidth="1"/>
  </cols>
  <sheetData>
    <row r="1" ht="12.75"/>
    <row r="2" ht="12.75"/>
    <row r="3" ht="12.75"/>
    <row r="4" ht="12.75"/>
    <row r="5" ht="12.75"/>
    <row r="6" ht="22.5" customHeight="1">
      <c r="B6" s="103" t="s">
        <v>4</v>
      </c>
    </row>
    <row r="7" spans="2:12" ht="24.75" customHeight="1">
      <c r="B7" s="667" t="s">
        <v>164</v>
      </c>
      <c r="C7" s="667"/>
      <c r="D7" s="667"/>
      <c r="E7" s="667"/>
      <c r="F7" s="667"/>
      <c r="G7" s="667"/>
      <c r="H7" s="667"/>
      <c r="I7" s="667"/>
      <c r="J7" s="667"/>
      <c r="K7" s="667"/>
      <c r="L7" s="93"/>
    </row>
    <row r="8" spans="2:12" ht="24.75" customHeight="1">
      <c r="B8" s="668" t="s">
        <v>584</v>
      </c>
      <c r="C8" s="668"/>
      <c r="D8" s="668"/>
      <c r="E8" s="668"/>
      <c r="F8" s="668"/>
      <c r="G8" s="668"/>
      <c r="H8" s="668"/>
      <c r="I8" s="668"/>
      <c r="J8" s="668"/>
      <c r="K8" s="668"/>
      <c r="L8" s="93"/>
    </row>
    <row r="10" spans="2:4" ht="17.25">
      <c r="B10" s="123" t="s">
        <v>356</v>
      </c>
      <c r="C10" s="124"/>
      <c r="D10" s="3"/>
    </row>
    <row r="11" spans="2:4" ht="10.5" customHeight="1">
      <c r="B11" s="4"/>
      <c r="C11" s="3"/>
      <c r="D11" s="3"/>
    </row>
    <row r="12" spans="1:12" s="25" customFormat="1" ht="16.5" customHeight="1">
      <c r="A12" s="20"/>
      <c r="B12" s="669" t="s">
        <v>363</v>
      </c>
      <c r="C12" s="670"/>
      <c r="D12" s="670"/>
      <c r="E12" s="670"/>
      <c r="F12" s="670"/>
      <c r="G12" s="670"/>
      <c r="H12" s="670"/>
      <c r="I12" s="670"/>
      <c r="J12" s="670"/>
      <c r="K12" s="670"/>
      <c r="L12" s="92"/>
    </row>
    <row r="13" spans="2:11" ht="10.5" customHeight="1">
      <c r="B13" s="125"/>
      <c r="C13" s="126"/>
      <c r="D13" s="125"/>
      <c r="E13" s="10"/>
      <c r="F13" s="125"/>
      <c r="G13" s="56"/>
      <c r="H13" s="56"/>
      <c r="I13" s="56"/>
      <c r="J13" s="56"/>
      <c r="K13" s="56"/>
    </row>
    <row r="14" spans="2:11" ht="15.75" customHeight="1">
      <c r="B14" s="127" t="s">
        <v>364</v>
      </c>
      <c r="C14" s="671" t="s">
        <v>568</v>
      </c>
      <c r="D14" s="672"/>
      <c r="E14" s="672"/>
      <c r="F14" s="672"/>
      <c r="G14" s="672"/>
      <c r="H14" s="672"/>
      <c r="I14" s="672"/>
      <c r="J14" s="672"/>
      <c r="K14" s="673"/>
    </row>
    <row r="15" spans="2:11" ht="7.5" customHeight="1">
      <c r="B15" s="128"/>
      <c r="C15" s="663"/>
      <c r="D15" s="664"/>
      <c r="E15" s="664"/>
      <c r="F15" s="664"/>
      <c r="G15" s="664"/>
      <c r="H15" s="664"/>
      <c r="I15" s="664"/>
      <c r="J15" s="664"/>
      <c r="K15" s="665"/>
    </row>
    <row r="16" spans="2:11" ht="15.75" customHeight="1">
      <c r="B16" s="128" t="s">
        <v>365</v>
      </c>
      <c r="C16" s="663" t="s">
        <v>367</v>
      </c>
      <c r="D16" s="664"/>
      <c r="E16" s="664"/>
      <c r="F16" s="664"/>
      <c r="G16" s="664"/>
      <c r="H16" s="664"/>
      <c r="I16" s="664"/>
      <c r="J16" s="664"/>
      <c r="K16" s="665"/>
    </row>
    <row r="17" spans="2:11" ht="7.5" customHeight="1">
      <c r="B17" s="128"/>
      <c r="C17" s="663"/>
      <c r="D17" s="664"/>
      <c r="E17" s="664"/>
      <c r="F17" s="664"/>
      <c r="G17" s="664"/>
      <c r="H17" s="664"/>
      <c r="I17" s="664"/>
      <c r="J17" s="664"/>
      <c r="K17" s="665"/>
    </row>
    <row r="18" spans="2:12" ht="15.75" customHeight="1">
      <c r="B18" s="128" t="s">
        <v>368</v>
      </c>
      <c r="C18" s="663" t="s">
        <v>165</v>
      </c>
      <c r="D18" s="666"/>
      <c r="E18" s="666"/>
      <c r="F18" s="666"/>
      <c r="G18" s="666"/>
      <c r="H18" s="666"/>
      <c r="I18" s="666"/>
      <c r="J18" s="666"/>
      <c r="K18" s="666"/>
      <c r="L18" s="92" t="s">
        <v>86</v>
      </c>
    </row>
    <row r="19" spans="2:11" ht="7.5" customHeight="1">
      <c r="B19" s="128"/>
      <c r="C19" s="663"/>
      <c r="D19" s="664"/>
      <c r="E19" s="664"/>
      <c r="F19" s="664"/>
      <c r="G19" s="664"/>
      <c r="H19" s="664"/>
      <c r="I19" s="664"/>
      <c r="J19" s="664"/>
      <c r="K19" s="665"/>
    </row>
    <row r="20" spans="2:12" ht="15.75" customHeight="1">
      <c r="B20" s="128" t="s">
        <v>369</v>
      </c>
      <c r="C20" s="663" t="s">
        <v>98</v>
      </c>
      <c r="D20" s="666"/>
      <c r="E20" s="666"/>
      <c r="F20" s="666"/>
      <c r="G20" s="666"/>
      <c r="H20" s="666"/>
      <c r="I20" s="666"/>
      <c r="J20" s="666"/>
      <c r="K20" s="666"/>
      <c r="L20" s="92" t="s">
        <v>353</v>
      </c>
    </row>
    <row r="21" spans="2:11" ht="7.5" customHeight="1">
      <c r="B21" s="128"/>
      <c r="C21" s="663"/>
      <c r="D21" s="664"/>
      <c r="E21" s="664"/>
      <c r="F21" s="664"/>
      <c r="G21" s="664"/>
      <c r="H21" s="664"/>
      <c r="I21" s="664"/>
      <c r="J21" s="664"/>
      <c r="K21" s="665"/>
    </row>
    <row r="22" spans="2:12" ht="15.75" customHeight="1">
      <c r="B22" s="128" t="s">
        <v>370</v>
      </c>
      <c r="C22" s="663" t="s">
        <v>57</v>
      </c>
      <c r="D22" s="666"/>
      <c r="E22" s="666"/>
      <c r="F22" s="666"/>
      <c r="G22" s="666"/>
      <c r="H22" s="666"/>
      <c r="I22" s="666"/>
      <c r="J22" s="666"/>
      <c r="K22" s="666"/>
      <c r="L22" s="92" t="s">
        <v>94</v>
      </c>
    </row>
    <row r="23" spans="2:11" ht="7.5" customHeight="1">
      <c r="B23" s="128"/>
      <c r="C23" s="663"/>
      <c r="D23" s="664"/>
      <c r="E23" s="664"/>
      <c r="F23" s="664"/>
      <c r="G23" s="664"/>
      <c r="H23" s="664"/>
      <c r="I23" s="664"/>
      <c r="J23" s="664"/>
      <c r="K23" s="665"/>
    </row>
    <row r="24" spans="2:12" ht="15.75" customHeight="1">
      <c r="B24" s="128" t="s">
        <v>322</v>
      </c>
      <c r="C24" s="663" t="s">
        <v>99</v>
      </c>
      <c r="D24" s="664"/>
      <c r="E24" s="664"/>
      <c r="F24" s="664"/>
      <c r="G24" s="664"/>
      <c r="H24" s="664"/>
      <c r="I24" s="664"/>
      <c r="J24" s="664"/>
      <c r="K24" s="665"/>
      <c r="L24" s="92" t="s">
        <v>40</v>
      </c>
    </row>
    <row r="25" spans="2:11" ht="7.5" customHeight="1">
      <c r="B25" s="128"/>
      <c r="C25" s="663"/>
      <c r="D25" s="664"/>
      <c r="E25" s="664"/>
      <c r="F25" s="664"/>
      <c r="G25" s="664"/>
      <c r="H25" s="664"/>
      <c r="I25" s="664"/>
      <c r="J25" s="664"/>
      <c r="K25" s="665"/>
    </row>
    <row r="26" spans="2:12" ht="15.75" customHeight="1">
      <c r="B26" s="128" t="s">
        <v>377</v>
      </c>
      <c r="C26" s="663" t="s">
        <v>166</v>
      </c>
      <c r="D26" s="666"/>
      <c r="E26" s="666"/>
      <c r="F26" s="666"/>
      <c r="G26" s="666"/>
      <c r="H26" s="666"/>
      <c r="I26" s="666"/>
      <c r="J26" s="666"/>
      <c r="K26" s="666"/>
      <c r="L26" s="92" t="s">
        <v>95</v>
      </c>
    </row>
    <row r="27" spans="2:11" ht="7.5" customHeight="1">
      <c r="B27" s="128"/>
      <c r="C27" s="663"/>
      <c r="D27" s="664"/>
      <c r="E27" s="664"/>
      <c r="F27" s="664"/>
      <c r="G27" s="664"/>
      <c r="H27" s="664"/>
      <c r="I27" s="664"/>
      <c r="J27" s="664"/>
      <c r="K27" s="665"/>
    </row>
    <row r="28" spans="2:11" ht="15.75" customHeight="1">
      <c r="B28" s="128" t="s">
        <v>323</v>
      </c>
      <c r="C28" s="663" t="s">
        <v>155</v>
      </c>
      <c r="D28" s="664"/>
      <c r="E28" s="664"/>
      <c r="F28" s="664"/>
      <c r="G28" s="664"/>
      <c r="H28" s="664"/>
      <c r="I28" s="664"/>
      <c r="J28" s="664"/>
      <c r="K28" s="665"/>
    </row>
    <row r="29" spans="2:11" ht="9.75" customHeight="1">
      <c r="B29" s="128"/>
      <c r="C29" s="676"/>
      <c r="D29" s="676"/>
      <c r="E29" s="676"/>
      <c r="F29" s="676"/>
      <c r="G29" s="676"/>
      <c r="H29" s="676"/>
      <c r="I29" s="676"/>
      <c r="J29" s="676"/>
      <c r="K29" s="676"/>
    </row>
    <row r="30" spans="2:11" ht="13.5">
      <c r="B30" s="13"/>
      <c r="C30" s="675"/>
      <c r="D30" s="675"/>
      <c r="E30" s="675"/>
      <c r="F30" s="675"/>
      <c r="G30" s="675"/>
      <c r="H30" s="675"/>
      <c r="I30" s="675"/>
      <c r="J30" s="675"/>
      <c r="K30" s="675"/>
    </row>
    <row r="31" spans="2:10" ht="7.5" customHeight="1">
      <c r="B31" s="14"/>
      <c r="C31" s="17"/>
      <c r="D31" s="17"/>
      <c r="E31" s="17"/>
      <c r="F31" s="17"/>
      <c r="G31" s="17"/>
      <c r="H31" s="17"/>
      <c r="I31" s="17"/>
      <c r="J31" s="17"/>
    </row>
    <row r="32" spans="2:12" s="7" customFormat="1" ht="13.5">
      <c r="B32" s="12"/>
      <c r="C32" s="674"/>
      <c r="D32" s="674"/>
      <c r="E32" s="674"/>
      <c r="F32" s="674"/>
      <c r="G32" s="674"/>
      <c r="H32" s="674"/>
      <c r="I32" s="674"/>
      <c r="J32" s="674"/>
      <c r="K32" s="674"/>
      <c r="L32" s="94"/>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zoomScalePageLayoutView="0" workbookViewId="0" topLeftCell="C1">
      <selection activeCell="C8" sqref="C8:P8"/>
    </sheetView>
  </sheetViews>
  <sheetFormatPr defaultColWidth="9.33203125" defaultRowHeight="12.75"/>
  <cols>
    <col min="1" max="1" width="6.66015625" style="0" hidden="1" customWidth="1"/>
    <col min="2" max="2" width="4" style="35" hidden="1" customWidth="1"/>
    <col min="3" max="3" width="14.16015625" style="35"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9" customFormat="1" ht="15">
      <c r="B1" s="38"/>
      <c r="C1" s="39" t="s">
        <v>355</v>
      </c>
      <c r="D1" s="26"/>
      <c r="E1" s="26"/>
      <c r="F1" s="26"/>
      <c r="G1" s="27"/>
      <c r="H1" s="27"/>
      <c r="I1" s="27"/>
      <c r="J1" s="28"/>
      <c r="K1" s="28"/>
      <c r="L1" s="28"/>
      <c r="M1" s="27"/>
      <c r="N1" s="27"/>
      <c r="O1" s="27"/>
      <c r="P1" s="27"/>
    </row>
    <row r="2" spans="4:16" ht="6.75" customHeight="1">
      <c r="D2" s="1"/>
      <c r="E2" s="1"/>
      <c r="F2" s="1"/>
      <c r="G2" s="2"/>
      <c r="H2" s="2"/>
      <c r="I2" s="2"/>
      <c r="M2" s="2"/>
      <c r="N2" s="2"/>
      <c r="O2" s="2"/>
      <c r="P2" s="2"/>
    </row>
    <row r="3" spans="3:18" s="36" customFormat="1" ht="13.5">
      <c r="C3" s="31" t="s">
        <v>358</v>
      </c>
      <c r="D3" s="32"/>
      <c r="E3" s="32"/>
      <c r="F3" s="31"/>
      <c r="G3" s="31"/>
      <c r="H3" s="34"/>
      <c r="K3" s="33" t="s">
        <v>81</v>
      </c>
      <c r="L3" s="34"/>
      <c r="M3" s="34"/>
      <c r="N3" s="34"/>
      <c r="O3" s="31"/>
      <c r="P3" s="37"/>
      <c r="Q3" s="37"/>
      <c r="R3" s="37"/>
    </row>
    <row r="4" spans="3:16" ht="7.5" customHeight="1">
      <c r="C4" s="46"/>
      <c r="D4" s="8"/>
      <c r="E4" s="8"/>
      <c r="F4" s="8"/>
      <c r="G4" s="5"/>
      <c r="H4" s="5"/>
      <c r="I4" s="5"/>
      <c r="J4" s="6"/>
      <c r="K4" s="6"/>
      <c r="L4" s="6"/>
      <c r="M4" s="5"/>
      <c r="N4" s="5"/>
      <c r="O4" s="5"/>
      <c r="P4" s="5"/>
    </row>
    <row r="5" spans="2:16" s="19" customFormat="1" ht="17.25" customHeight="1">
      <c r="B5" s="38"/>
      <c r="C5" s="867" t="s">
        <v>233</v>
      </c>
      <c r="D5" s="868"/>
      <c r="E5" s="868"/>
      <c r="F5" s="868"/>
      <c r="G5" s="868"/>
      <c r="H5" s="868"/>
      <c r="I5" s="868"/>
      <c r="J5" s="868"/>
      <c r="K5" s="868"/>
      <c r="L5" s="868"/>
      <c r="M5" s="868"/>
      <c r="N5" s="29"/>
      <c r="O5" s="29"/>
      <c r="P5" s="29"/>
    </row>
    <row r="6" ht="9.75" customHeight="1"/>
    <row r="7" spans="3:16" ht="17.25" customHeight="1">
      <c r="C7" s="864" t="s">
        <v>13</v>
      </c>
      <c r="D7" s="865"/>
      <c r="E7" s="865"/>
      <c r="F7" s="865"/>
      <c r="G7" s="865"/>
      <c r="H7" s="865"/>
      <c r="I7" s="865"/>
      <c r="J7" s="865"/>
      <c r="K7" s="865"/>
      <c r="L7" s="865"/>
      <c r="M7" s="865"/>
      <c r="N7" s="865"/>
      <c r="O7" s="865"/>
      <c r="P7" s="866"/>
    </row>
    <row r="8" spans="3:16" ht="25.5" customHeight="1">
      <c r="C8" s="872"/>
      <c r="D8" s="873"/>
      <c r="E8" s="873"/>
      <c r="F8" s="873"/>
      <c r="G8" s="873"/>
      <c r="H8" s="873"/>
      <c r="I8" s="873"/>
      <c r="J8" s="873"/>
      <c r="K8" s="873"/>
      <c r="L8" s="873"/>
      <c r="M8" s="873"/>
      <c r="N8" s="873"/>
      <c r="O8" s="873"/>
      <c r="P8" s="874"/>
    </row>
    <row r="9" spans="3:16" ht="39" customHeight="1">
      <c r="C9" s="869" t="s">
        <v>311</v>
      </c>
      <c r="D9" s="870"/>
      <c r="E9" s="870"/>
      <c r="F9" s="870"/>
      <c r="G9" s="870"/>
      <c r="H9" s="870"/>
      <c r="I9" s="870"/>
      <c r="J9" s="870"/>
      <c r="K9" s="870"/>
      <c r="L9" s="870"/>
      <c r="M9" s="870"/>
      <c r="N9" s="870"/>
      <c r="O9" s="870"/>
      <c r="P9" s="871"/>
    </row>
    <row r="10" spans="3:16" ht="15" customHeight="1">
      <c r="C10" s="854"/>
      <c r="D10" s="855"/>
      <c r="E10" s="855"/>
      <c r="F10" s="855"/>
      <c r="G10" s="855"/>
      <c r="H10" s="855"/>
      <c r="I10" s="855"/>
      <c r="J10" s="855"/>
      <c r="K10" s="855"/>
      <c r="L10" s="855"/>
      <c r="M10" s="855"/>
      <c r="N10" s="855"/>
      <c r="O10" s="855"/>
      <c r="P10" s="856"/>
    </row>
    <row r="11" spans="3:16" ht="15" customHeight="1">
      <c r="C11" s="854"/>
      <c r="D11" s="855"/>
      <c r="E11" s="855"/>
      <c r="F11" s="855"/>
      <c r="G11" s="855"/>
      <c r="H11" s="855"/>
      <c r="I11" s="855"/>
      <c r="J11" s="855"/>
      <c r="K11" s="855"/>
      <c r="L11" s="855"/>
      <c r="M11" s="855"/>
      <c r="N11" s="855"/>
      <c r="O11" s="855"/>
      <c r="P11" s="856"/>
    </row>
    <row r="12" spans="3:16" ht="15" customHeight="1">
      <c r="C12" s="854"/>
      <c r="D12" s="855"/>
      <c r="E12" s="855"/>
      <c r="F12" s="855"/>
      <c r="G12" s="855"/>
      <c r="H12" s="855"/>
      <c r="I12" s="855"/>
      <c r="J12" s="855"/>
      <c r="K12" s="855"/>
      <c r="L12" s="855"/>
      <c r="M12" s="855"/>
      <c r="N12" s="855"/>
      <c r="O12" s="855"/>
      <c r="P12" s="856"/>
    </row>
    <row r="13" spans="3:16" ht="15" customHeight="1">
      <c r="C13" s="854"/>
      <c r="D13" s="857"/>
      <c r="E13" s="857"/>
      <c r="F13" s="857"/>
      <c r="G13" s="857"/>
      <c r="H13" s="857"/>
      <c r="I13" s="857"/>
      <c r="J13" s="857"/>
      <c r="K13" s="857"/>
      <c r="L13" s="857"/>
      <c r="M13" s="857"/>
      <c r="N13" s="857"/>
      <c r="O13" s="857"/>
      <c r="P13" s="858"/>
    </row>
    <row r="14" spans="3:16" ht="15" customHeight="1">
      <c r="C14" s="854"/>
      <c r="D14" s="855"/>
      <c r="E14" s="855"/>
      <c r="F14" s="855"/>
      <c r="G14" s="855"/>
      <c r="H14" s="855"/>
      <c r="I14" s="855"/>
      <c r="J14" s="855"/>
      <c r="K14" s="855"/>
      <c r="L14" s="855"/>
      <c r="M14" s="855"/>
      <c r="N14" s="855"/>
      <c r="O14" s="855"/>
      <c r="P14" s="856"/>
    </row>
    <row r="15" spans="3:16" ht="15" customHeight="1">
      <c r="C15" s="854"/>
      <c r="D15" s="855"/>
      <c r="E15" s="855"/>
      <c r="F15" s="855"/>
      <c r="G15" s="855"/>
      <c r="H15" s="855"/>
      <c r="I15" s="855"/>
      <c r="J15" s="855"/>
      <c r="K15" s="855"/>
      <c r="L15" s="855"/>
      <c r="M15" s="855"/>
      <c r="N15" s="855"/>
      <c r="O15" s="855"/>
      <c r="P15" s="856"/>
    </row>
    <row r="16" spans="3:16" ht="15" customHeight="1">
      <c r="C16" s="854"/>
      <c r="D16" s="855"/>
      <c r="E16" s="855"/>
      <c r="F16" s="855"/>
      <c r="G16" s="855"/>
      <c r="H16" s="855"/>
      <c r="I16" s="855"/>
      <c r="J16" s="855"/>
      <c r="K16" s="855"/>
      <c r="L16" s="855"/>
      <c r="M16" s="855"/>
      <c r="N16" s="855"/>
      <c r="O16" s="855"/>
      <c r="P16" s="856"/>
    </row>
    <row r="17" spans="3:16" ht="15" customHeight="1">
      <c r="C17" s="854"/>
      <c r="D17" s="857"/>
      <c r="E17" s="857"/>
      <c r="F17" s="857"/>
      <c r="G17" s="857"/>
      <c r="H17" s="857"/>
      <c r="I17" s="857"/>
      <c r="J17" s="857"/>
      <c r="K17" s="857"/>
      <c r="L17" s="857"/>
      <c r="M17" s="857"/>
      <c r="N17" s="857"/>
      <c r="O17" s="857"/>
      <c r="P17" s="858"/>
    </row>
    <row r="18" spans="3:16" ht="15" customHeight="1">
      <c r="C18" s="854"/>
      <c r="D18" s="857"/>
      <c r="E18" s="857"/>
      <c r="F18" s="857"/>
      <c r="G18" s="857"/>
      <c r="H18" s="857"/>
      <c r="I18" s="857"/>
      <c r="J18" s="857"/>
      <c r="K18" s="857"/>
      <c r="L18" s="857"/>
      <c r="M18" s="857"/>
      <c r="N18" s="857"/>
      <c r="O18" s="857"/>
      <c r="P18" s="858"/>
    </row>
    <row r="19" spans="3:16" ht="15" customHeight="1">
      <c r="C19" s="864" t="s">
        <v>50</v>
      </c>
      <c r="D19" s="865"/>
      <c r="E19" s="865"/>
      <c r="F19" s="865"/>
      <c r="G19" s="865"/>
      <c r="H19" s="865"/>
      <c r="I19" s="865"/>
      <c r="J19" s="865"/>
      <c r="K19" s="865"/>
      <c r="L19" s="865"/>
      <c r="M19" s="865"/>
      <c r="N19" s="865"/>
      <c r="O19" s="865"/>
      <c r="P19" s="866"/>
    </row>
    <row r="20" spans="3:16" ht="15" customHeight="1">
      <c r="C20" s="854"/>
      <c r="D20" s="859"/>
      <c r="E20" s="859"/>
      <c r="F20" s="859"/>
      <c r="G20" s="859"/>
      <c r="H20" s="859"/>
      <c r="I20" s="859"/>
      <c r="J20" s="859"/>
      <c r="K20" s="859"/>
      <c r="L20" s="859"/>
      <c r="M20" s="859"/>
      <c r="N20" s="859"/>
      <c r="O20" s="859"/>
      <c r="P20" s="860"/>
    </row>
    <row r="21" spans="3:16" ht="15" customHeight="1">
      <c r="C21" s="854"/>
      <c r="D21" s="859"/>
      <c r="E21" s="859"/>
      <c r="F21" s="859"/>
      <c r="G21" s="859"/>
      <c r="H21" s="859"/>
      <c r="I21" s="859"/>
      <c r="J21" s="859"/>
      <c r="K21" s="859"/>
      <c r="L21" s="859"/>
      <c r="M21" s="859"/>
      <c r="N21" s="859"/>
      <c r="O21" s="859"/>
      <c r="P21" s="860"/>
    </row>
    <row r="22" spans="3:16" ht="15" customHeight="1">
      <c r="C22" s="854"/>
      <c r="D22" s="859"/>
      <c r="E22" s="859"/>
      <c r="F22" s="859"/>
      <c r="G22" s="859"/>
      <c r="H22" s="859"/>
      <c r="I22" s="859"/>
      <c r="J22" s="859"/>
      <c r="K22" s="859"/>
      <c r="L22" s="859"/>
      <c r="M22" s="859"/>
      <c r="N22" s="859"/>
      <c r="O22" s="859"/>
      <c r="P22" s="860"/>
    </row>
    <row r="23" spans="3:16" ht="15" customHeight="1">
      <c r="C23" s="854"/>
      <c r="D23" s="859"/>
      <c r="E23" s="859"/>
      <c r="F23" s="859"/>
      <c r="G23" s="859"/>
      <c r="H23" s="859"/>
      <c r="I23" s="859"/>
      <c r="J23" s="859"/>
      <c r="K23" s="859"/>
      <c r="L23" s="859"/>
      <c r="M23" s="859"/>
      <c r="N23" s="859"/>
      <c r="O23" s="859"/>
      <c r="P23" s="860"/>
    </row>
    <row r="24" spans="3:16" ht="15" customHeight="1">
      <c r="C24" s="861"/>
      <c r="D24" s="862"/>
      <c r="E24" s="862"/>
      <c r="F24" s="862"/>
      <c r="G24" s="862"/>
      <c r="H24" s="862"/>
      <c r="I24" s="862"/>
      <c r="J24" s="862"/>
      <c r="K24" s="862"/>
      <c r="L24" s="862"/>
      <c r="M24" s="862"/>
      <c r="N24" s="862"/>
      <c r="O24" s="862"/>
      <c r="P24" s="863"/>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SheetLayoutView="85"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
      <c r="A1" s="35"/>
      <c r="B1" s="30" t="s">
        <v>355</v>
      </c>
    </row>
    <row r="2" ht="9.75" customHeight="1"/>
    <row r="3" spans="2:11" s="19" customFormat="1" ht="16.5" customHeight="1">
      <c r="B3" s="683" t="s">
        <v>372</v>
      </c>
      <c r="C3" s="683"/>
      <c r="D3" s="683"/>
      <c r="E3" s="683"/>
      <c r="F3" s="683"/>
      <c r="G3" s="683"/>
      <c r="H3" s="683"/>
      <c r="I3" s="683"/>
      <c r="J3" s="683"/>
      <c r="K3" s="683"/>
    </row>
    <row r="4" ht="9.75" customHeight="1">
      <c r="C4" s="14"/>
    </row>
    <row r="5" spans="2:11" s="19" customFormat="1" ht="15">
      <c r="B5" s="686" t="s">
        <v>373</v>
      </c>
      <c r="C5" s="686"/>
      <c r="D5" s="686"/>
      <c r="E5" s="686"/>
      <c r="F5" s="686"/>
      <c r="G5" s="686"/>
      <c r="H5" s="686"/>
      <c r="I5" s="686"/>
      <c r="J5" s="686"/>
      <c r="K5" s="686"/>
    </row>
    <row r="6" spans="2:10" ht="7.5" customHeight="1">
      <c r="B6" s="15"/>
      <c r="C6" s="16"/>
      <c r="D6" s="9"/>
      <c r="F6" s="9"/>
      <c r="G6" s="6"/>
      <c r="H6" s="6"/>
      <c r="I6" s="6"/>
      <c r="J6" s="6"/>
    </row>
    <row r="7" spans="2:11" s="10" customFormat="1" ht="40.5" customHeight="1">
      <c r="B7" s="684" t="s">
        <v>6</v>
      </c>
      <c r="C7" s="684"/>
      <c r="D7" s="684"/>
      <c r="E7" s="684"/>
      <c r="F7" s="684"/>
      <c r="G7" s="684"/>
      <c r="H7" s="684"/>
      <c r="I7" s="684"/>
      <c r="J7" s="684"/>
      <c r="K7" s="684"/>
    </row>
    <row r="8" spans="2:11" s="10" customFormat="1" ht="7.5" customHeight="1">
      <c r="B8" s="42"/>
      <c r="C8" s="42"/>
      <c r="D8" s="42"/>
      <c r="E8" s="42"/>
      <c r="F8" s="42"/>
      <c r="G8" s="42"/>
      <c r="H8" s="42"/>
      <c r="I8" s="42"/>
      <c r="J8" s="42"/>
      <c r="K8" s="42"/>
    </row>
    <row r="9" spans="2:11" s="10" customFormat="1" ht="25.5" customHeight="1">
      <c r="B9" s="684" t="s">
        <v>202</v>
      </c>
      <c r="C9" s="695"/>
      <c r="D9" s="695"/>
      <c r="E9" s="695"/>
      <c r="F9" s="695"/>
      <c r="G9" s="695"/>
      <c r="H9" s="695"/>
      <c r="I9" s="695"/>
      <c r="J9" s="695"/>
      <c r="K9" s="695"/>
    </row>
    <row r="10" spans="2:11" s="10" customFormat="1" ht="4.5" customHeight="1">
      <c r="B10" s="129"/>
      <c r="C10" s="129"/>
      <c r="D10" s="129"/>
      <c r="E10" s="129"/>
      <c r="F10" s="129"/>
      <c r="G10" s="129"/>
      <c r="H10" s="129"/>
      <c r="I10" s="129"/>
      <c r="J10" s="129"/>
      <c r="K10" s="129"/>
    </row>
    <row r="11" spans="2:11" s="2" customFormat="1" ht="26.25" customHeight="1">
      <c r="B11" s="696" t="s">
        <v>585</v>
      </c>
      <c r="C11" s="696"/>
      <c r="D11" s="696"/>
      <c r="E11" s="696"/>
      <c r="F11" s="696"/>
      <c r="G11" s="696"/>
      <c r="H11" s="696"/>
      <c r="I11" s="696"/>
      <c r="J11" s="696"/>
      <c r="K11" s="696"/>
    </row>
    <row r="12" spans="2:11" s="10" customFormat="1" ht="4.5" customHeight="1">
      <c r="B12" s="42"/>
      <c r="C12" s="42"/>
      <c r="D12" s="42"/>
      <c r="E12" s="42"/>
      <c r="F12" s="42"/>
      <c r="G12" s="42"/>
      <c r="H12" s="42"/>
      <c r="I12" s="42"/>
      <c r="J12" s="42"/>
      <c r="K12" s="42"/>
    </row>
    <row r="13" spans="2:11" s="10" customFormat="1" ht="18.75" customHeight="1">
      <c r="B13" s="697" t="s">
        <v>201</v>
      </c>
      <c r="C13" s="697"/>
      <c r="D13" s="697"/>
      <c r="E13" s="697"/>
      <c r="F13" s="697"/>
      <c r="G13" s="697"/>
      <c r="H13" s="697"/>
      <c r="I13" s="697"/>
      <c r="J13" s="697"/>
      <c r="K13" s="697"/>
    </row>
    <row r="14" spans="2:11" s="10" customFormat="1" ht="4.5" customHeight="1">
      <c r="B14" s="42"/>
      <c r="C14" s="42"/>
      <c r="D14" s="42"/>
      <c r="E14" s="42"/>
      <c r="F14" s="42"/>
      <c r="G14" s="42"/>
      <c r="H14" s="42"/>
      <c r="I14" s="42"/>
      <c r="J14" s="42"/>
      <c r="K14" s="42"/>
    </row>
    <row r="15" spans="2:11" s="53" customFormat="1" ht="26.25" customHeight="1">
      <c r="B15" s="698" t="s">
        <v>206</v>
      </c>
      <c r="C15" s="698"/>
      <c r="D15" s="698"/>
      <c r="E15" s="698"/>
      <c r="F15" s="698"/>
      <c r="G15" s="698"/>
      <c r="H15" s="698"/>
      <c r="I15" s="698"/>
      <c r="J15" s="698"/>
      <c r="K15" s="698"/>
    </row>
    <row r="16" spans="2:11" s="10" customFormat="1" ht="4.5" customHeight="1">
      <c r="B16" s="42"/>
      <c r="C16" s="42"/>
      <c r="D16" s="42"/>
      <c r="E16" s="42"/>
      <c r="F16" s="42"/>
      <c r="G16" s="42"/>
      <c r="H16" s="42"/>
      <c r="I16" s="42"/>
      <c r="J16" s="42"/>
      <c r="K16" s="42"/>
    </row>
    <row r="17" spans="2:11" s="10" customFormat="1" ht="29.25" customHeight="1">
      <c r="B17" s="684" t="s">
        <v>49</v>
      </c>
      <c r="C17" s="684"/>
      <c r="D17" s="684"/>
      <c r="E17" s="684"/>
      <c r="F17" s="684"/>
      <c r="G17" s="684"/>
      <c r="H17" s="684"/>
      <c r="I17" s="684"/>
      <c r="J17" s="684"/>
      <c r="K17" s="684"/>
    </row>
    <row r="18" spans="2:11" s="10" customFormat="1" ht="4.5" customHeight="1">
      <c r="B18" s="129"/>
      <c r="C18" s="129"/>
      <c r="D18" s="129"/>
      <c r="E18" s="129"/>
      <c r="F18" s="129"/>
      <c r="G18" s="129"/>
      <c r="H18" s="129"/>
      <c r="I18" s="129"/>
      <c r="J18" s="129"/>
      <c r="K18" s="129"/>
    </row>
    <row r="19" spans="2:11" s="10" customFormat="1" ht="26.25" customHeight="1">
      <c r="B19" s="684" t="s">
        <v>222</v>
      </c>
      <c r="C19" s="684"/>
      <c r="D19" s="684"/>
      <c r="E19" s="684"/>
      <c r="F19" s="684"/>
      <c r="G19" s="684"/>
      <c r="H19" s="684"/>
      <c r="I19" s="684"/>
      <c r="J19" s="684"/>
      <c r="K19" s="684"/>
    </row>
    <row r="20" spans="2:11" s="10" customFormat="1" ht="4.5" customHeight="1">
      <c r="B20" s="122"/>
      <c r="C20" s="122"/>
      <c r="D20" s="122"/>
      <c r="E20" s="122"/>
      <c r="F20" s="122"/>
      <c r="G20" s="122"/>
      <c r="H20" s="122"/>
      <c r="I20" s="122"/>
      <c r="J20" s="122"/>
      <c r="K20" s="122"/>
    </row>
    <row r="21" spans="2:11" s="10" customFormat="1" ht="18.75" customHeight="1">
      <c r="B21" s="684" t="s">
        <v>207</v>
      </c>
      <c r="C21" s="684"/>
      <c r="D21" s="684"/>
      <c r="E21" s="684"/>
      <c r="F21" s="684"/>
      <c r="G21" s="684"/>
      <c r="H21" s="684"/>
      <c r="I21" s="684"/>
      <c r="J21" s="684"/>
      <c r="K21" s="684"/>
    </row>
    <row r="22" spans="2:11" s="10" customFormat="1" ht="26.25" customHeight="1">
      <c r="B22" s="689" t="s">
        <v>85</v>
      </c>
      <c r="C22" s="689"/>
      <c r="D22" s="689"/>
      <c r="E22" s="689"/>
      <c r="F22" s="689"/>
      <c r="G22" s="689"/>
      <c r="H22" s="689"/>
      <c r="I22" s="689"/>
      <c r="J22" s="689"/>
      <c r="K22" s="689"/>
    </row>
    <row r="23" spans="2:11" s="10" customFormat="1" ht="6.75" customHeight="1">
      <c r="B23" s="131"/>
      <c r="C23" s="42"/>
      <c r="D23" s="42"/>
      <c r="E23" s="42"/>
      <c r="F23" s="42"/>
      <c r="G23" s="42"/>
      <c r="H23" s="42"/>
      <c r="I23" s="42"/>
      <c r="J23" s="42"/>
      <c r="K23" s="42"/>
    </row>
    <row r="24" spans="2:11" s="10" customFormat="1" ht="38.25" customHeight="1">
      <c r="B24" s="684" t="s">
        <v>119</v>
      </c>
      <c r="C24" s="684"/>
      <c r="D24" s="684"/>
      <c r="E24" s="687"/>
      <c r="F24" s="687"/>
      <c r="G24" s="687"/>
      <c r="H24" s="687"/>
      <c r="I24" s="687"/>
      <c r="J24" s="687"/>
      <c r="K24" s="687"/>
    </row>
    <row r="25" spans="2:11" ht="10.5" customHeight="1">
      <c r="B25" s="122"/>
      <c r="C25" s="122"/>
      <c r="D25" s="122"/>
      <c r="E25" s="122"/>
      <c r="F25" s="122"/>
      <c r="G25" s="122"/>
      <c r="H25" s="122"/>
      <c r="I25" s="122"/>
      <c r="J25" s="122"/>
      <c r="K25" s="122"/>
    </row>
    <row r="26" spans="2:11" s="10" customFormat="1" ht="8.25" customHeight="1">
      <c r="B26" s="684"/>
      <c r="C26" s="685"/>
      <c r="D26" s="685"/>
      <c r="E26" s="685"/>
      <c r="F26" s="685"/>
      <c r="G26" s="685"/>
      <c r="H26" s="685"/>
      <c r="I26" s="685"/>
      <c r="J26" s="685"/>
      <c r="K26" s="685"/>
    </row>
    <row r="27" spans="2:11" ht="0.75" customHeight="1">
      <c r="B27" s="183"/>
      <c r="C27" s="184"/>
      <c r="D27" s="184"/>
      <c r="E27" s="184"/>
      <c r="F27" s="184"/>
      <c r="G27" s="184"/>
      <c r="H27" s="184"/>
      <c r="I27" s="184"/>
      <c r="J27" s="184"/>
      <c r="K27" s="185"/>
    </row>
    <row r="28" spans="2:11" s="19" customFormat="1" ht="15">
      <c r="B28" s="686" t="s">
        <v>374</v>
      </c>
      <c r="C28" s="688"/>
      <c r="D28" s="688"/>
      <c r="E28" s="688"/>
      <c r="F28" s="688"/>
      <c r="G28" s="688"/>
      <c r="H28" s="688"/>
      <c r="I28" s="688"/>
      <c r="J28" s="688"/>
      <c r="K28" s="688"/>
    </row>
    <row r="29" spans="2:11" ht="7.5" customHeight="1">
      <c r="B29" s="95"/>
      <c r="C29" s="40"/>
      <c r="D29" s="95"/>
      <c r="E29" s="40"/>
      <c r="F29" s="95"/>
      <c r="G29" s="40"/>
      <c r="H29" s="95"/>
      <c r="I29" s="40"/>
      <c r="J29" s="95"/>
      <c r="K29" s="40"/>
    </row>
    <row r="30" spans="2:11" ht="7.5" customHeight="1">
      <c r="B30" s="699"/>
      <c r="C30" s="699"/>
      <c r="D30" s="699"/>
      <c r="E30" s="699"/>
      <c r="F30" s="699"/>
      <c r="G30" s="699"/>
      <c r="H30" s="699"/>
      <c r="I30" s="699"/>
      <c r="J30" s="699"/>
      <c r="K30" s="699"/>
    </row>
    <row r="31" spans="2:11" s="53" customFormat="1" ht="15.75" customHeight="1">
      <c r="B31" s="133" t="s">
        <v>375</v>
      </c>
      <c r="C31" s="696" t="s">
        <v>208</v>
      </c>
      <c r="D31" s="696"/>
      <c r="E31" s="696"/>
      <c r="F31" s="696"/>
      <c r="G31" s="696"/>
      <c r="H31" s="696"/>
      <c r="I31" s="696"/>
      <c r="J31" s="696"/>
      <c r="K31" s="696"/>
    </row>
    <row r="32" spans="2:11" s="53" customFormat="1" ht="26.25" customHeight="1">
      <c r="B32" s="133" t="s">
        <v>375</v>
      </c>
      <c r="C32" s="700" t="s">
        <v>58</v>
      </c>
      <c r="D32" s="700"/>
      <c r="E32" s="700"/>
      <c r="F32" s="700"/>
      <c r="G32" s="700"/>
      <c r="H32" s="700"/>
      <c r="I32" s="700"/>
      <c r="J32" s="700"/>
      <c r="K32" s="700"/>
    </row>
    <row r="33" spans="2:11" s="43" customFormat="1" ht="51" customHeight="1">
      <c r="B33" s="133" t="s">
        <v>375</v>
      </c>
      <c r="C33" s="700" t="s">
        <v>120</v>
      </c>
      <c r="D33" s="700"/>
      <c r="E33" s="700"/>
      <c r="F33" s="700"/>
      <c r="G33" s="700"/>
      <c r="H33" s="700"/>
      <c r="I33" s="700"/>
      <c r="J33" s="700"/>
      <c r="K33" s="700"/>
    </row>
    <row r="34" spans="2:11" s="53" customFormat="1" ht="26.25" customHeight="1">
      <c r="B34" s="134" t="s">
        <v>375</v>
      </c>
      <c r="C34" s="703" t="s">
        <v>156</v>
      </c>
      <c r="D34" s="703"/>
      <c r="E34" s="703"/>
      <c r="F34" s="703"/>
      <c r="G34" s="703"/>
      <c r="H34" s="703"/>
      <c r="I34" s="703"/>
      <c r="J34" s="703"/>
      <c r="K34" s="703"/>
    </row>
    <row r="35" spans="2:11" s="10" customFormat="1" ht="24.75" customHeight="1">
      <c r="B35" s="134" t="s">
        <v>375</v>
      </c>
      <c r="C35" s="691" t="s">
        <v>247</v>
      </c>
      <c r="D35" s="691"/>
      <c r="E35" s="691"/>
      <c r="F35" s="691"/>
      <c r="G35" s="691"/>
      <c r="H35" s="691"/>
      <c r="I35" s="691"/>
      <c r="J35" s="691"/>
      <c r="K35" s="691"/>
    </row>
    <row r="36" spans="2:11" s="53" customFormat="1" ht="27.75" customHeight="1">
      <c r="B36" s="134" t="s">
        <v>375</v>
      </c>
      <c r="C36" s="694" t="s">
        <v>209</v>
      </c>
      <c r="D36" s="694"/>
      <c r="E36" s="694"/>
      <c r="F36" s="694"/>
      <c r="G36" s="694"/>
      <c r="H36" s="694"/>
      <c r="I36" s="694"/>
      <c r="J36" s="694"/>
      <c r="K36" s="694"/>
    </row>
    <row r="37" spans="2:11" s="10" customFormat="1" ht="15.75" customHeight="1">
      <c r="B37" s="134" t="s">
        <v>375</v>
      </c>
      <c r="C37" s="697" t="s">
        <v>210</v>
      </c>
      <c r="D37" s="697"/>
      <c r="E37" s="697"/>
      <c r="F37" s="697"/>
      <c r="G37" s="697"/>
      <c r="H37" s="697"/>
      <c r="I37" s="697"/>
      <c r="J37" s="697"/>
      <c r="K37" s="697"/>
    </row>
    <row r="38" spans="2:11" s="53" customFormat="1" ht="15.75" customHeight="1">
      <c r="B38" s="134" t="s">
        <v>375</v>
      </c>
      <c r="C38" s="690" t="s">
        <v>211</v>
      </c>
      <c r="D38" s="690"/>
      <c r="E38" s="690"/>
      <c r="F38" s="690"/>
      <c r="G38" s="690"/>
      <c r="H38" s="690"/>
      <c r="I38" s="690"/>
      <c r="J38" s="690"/>
      <c r="K38" s="690"/>
    </row>
    <row r="39" spans="2:11" s="53" customFormat="1" ht="14.25" customHeight="1">
      <c r="B39" s="134" t="s">
        <v>375</v>
      </c>
      <c r="C39" s="690" t="s">
        <v>43</v>
      </c>
      <c r="D39" s="690"/>
      <c r="E39" s="690"/>
      <c r="F39" s="690"/>
      <c r="G39" s="690"/>
      <c r="H39" s="690"/>
      <c r="I39" s="690"/>
      <c r="J39" s="690"/>
      <c r="K39" s="690"/>
    </row>
    <row r="40" spans="2:11" s="10" customFormat="1" ht="10.5" customHeight="1">
      <c r="B40" s="134"/>
      <c r="C40" s="697"/>
      <c r="D40" s="697"/>
      <c r="E40" s="697"/>
      <c r="F40" s="697"/>
      <c r="G40" s="697"/>
      <c r="H40" s="697"/>
      <c r="I40" s="697"/>
      <c r="J40" s="697"/>
      <c r="K40" s="697"/>
    </row>
    <row r="41" spans="2:11" s="58" customFormat="1" ht="15.75" customHeight="1">
      <c r="B41" s="136" t="s">
        <v>371</v>
      </c>
      <c r="C41" s="136"/>
      <c r="D41" s="136"/>
      <c r="E41" s="137"/>
      <c r="F41" s="137"/>
      <c r="G41" s="138"/>
      <c r="H41" s="138"/>
      <c r="I41" s="138"/>
      <c r="J41" s="138"/>
      <c r="K41" s="138"/>
    </row>
    <row r="42" spans="2:11" s="44" customFormat="1" ht="2.25" customHeight="1">
      <c r="B42" s="130"/>
      <c r="C42" s="135"/>
      <c r="D42" s="135"/>
      <c r="E42" s="135"/>
      <c r="F42" s="135"/>
      <c r="G42" s="135"/>
      <c r="H42" s="135"/>
      <c r="I42" s="135"/>
      <c r="J42" s="135"/>
      <c r="K42" s="135"/>
    </row>
    <row r="43" spans="2:11" s="44" customFormat="1" ht="13.5" customHeight="1">
      <c r="B43" s="139" t="s">
        <v>7</v>
      </c>
      <c r="C43" s="140" t="s">
        <v>163</v>
      </c>
      <c r="D43" s="141"/>
      <c r="E43" s="141"/>
      <c r="F43" s="141"/>
      <c r="G43" s="141"/>
      <c r="H43" s="141"/>
      <c r="I43" s="141"/>
      <c r="J43" s="141"/>
      <c r="K43" s="141"/>
    </row>
    <row r="44" spans="2:11" s="44" customFormat="1" ht="12.75">
      <c r="B44" s="139" t="s">
        <v>7</v>
      </c>
      <c r="C44" s="140" t="s">
        <v>8</v>
      </c>
      <c r="D44" s="140"/>
      <c r="E44" s="140"/>
      <c r="F44" s="140"/>
      <c r="G44" s="140"/>
      <c r="H44" s="140"/>
      <c r="I44" s="140"/>
      <c r="J44" s="140"/>
      <c r="K44" s="140"/>
    </row>
    <row r="45" spans="2:11" s="44" customFormat="1" ht="14.25" customHeight="1">
      <c r="B45" s="139" t="s">
        <v>7</v>
      </c>
      <c r="C45" s="140" t="s">
        <v>9</v>
      </c>
      <c r="D45" s="135"/>
      <c r="E45" s="135"/>
      <c r="F45" s="135"/>
      <c r="G45" s="135"/>
      <c r="H45" s="135"/>
      <c r="I45" s="135"/>
      <c r="J45" s="135"/>
      <c r="K45" s="135"/>
    </row>
    <row r="46" spans="2:11" s="44" customFormat="1" ht="30" customHeight="1">
      <c r="B46" s="139" t="s">
        <v>7</v>
      </c>
      <c r="C46" s="692" t="s">
        <v>586</v>
      </c>
      <c r="D46" s="692"/>
      <c r="E46" s="692"/>
      <c r="F46" s="692"/>
      <c r="G46" s="692"/>
      <c r="H46" s="692"/>
      <c r="I46" s="692"/>
      <c r="J46" s="692"/>
      <c r="K46" s="692"/>
    </row>
    <row r="47" spans="2:11" s="40" customFormat="1" ht="9.75" customHeight="1">
      <c r="B47" s="142"/>
      <c r="C47" s="143"/>
      <c r="D47" s="144"/>
      <c r="E47" s="144"/>
      <c r="F47" s="144"/>
      <c r="G47" s="144"/>
      <c r="H47" s="144"/>
      <c r="I47" s="144"/>
      <c r="J47" s="144"/>
      <c r="K47" s="144"/>
    </row>
    <row r="48" spans="2:11" s="19" customFormat="1" ht="15.75" customHeight="1">
      <c r="B48" s="701" t="s">
        <v>564</v>
      </c>
      <c r="C48" s="702"/>
      <c r="D48" s="702"/>
      <c r="E48" s="702"/>
      <c r="F48" s="702"/>
      <c r="G48" s="702"/>
      <c r="H48" s="702"/>
      <c r="I48" s="702"/>
      <c r="J48" s="702"/>
      <c r="K48" s="702"/>
    </row>
    <row r="49" spans="2:11" ht="7.5" customHeight="1">
      <c r="B49" s="11"/>
      <c r="C49" s="11"/>
      <c r="D49" s="150"/>
      <c r="E49" s="150"/>
      <c r="F49" s="11"/>
      <c r="G49" s="150"/>
      <c r="H49" s="150"/>
      <c r="I49" s="150"/>
      <c r="J49" s="150"/>
      <c r="K49" s="132"/>
    </row>
    <row r="50" spans="2:12" ht="24" customHeight="1">
      <c r="B50" s="680" t="s">
        <v>205</v>
      </c>
      <c r="C50" s="681"/>
      <c r="D50" s="681"/>
      <c r="E50" s="681"/>
      <c r="F50" s="681"/>
      <c r="G50" s="681"/>
      <c r="H50" s="681"/>
      <c r="I50" s="681"/>
      <c r="J50" s="681"/>
      <c r="K50" s="682"/>
      <c r="L50" s="24"/>
    </row>
    <row r="51" spans="2:11" ht="77.25" customHeight="1">
      <c r="B51" s="677" t="s">
        <v>296</v>
      </c>
      <c r="C51" s="678"/>
      <c r="D51" s="678"/>
      <c r="E51" s="678"/>
      <c r="F51" s="678"/>
      <c r="G51" s="678"/>
      <c r="H51" s="678"/>
      <c r="I51" s="678"/>
      <c r="J51" s="678"/>
      <c r="K51" s="679"/>
    </row>
    <row r="52" spans="2:11" ht="24" customHeight="1">
      <c r="B52" s="680" t="s">
        <v>101</v>
      </c>
      <c r="C52" s="681"/>
      <c r="D52" s="681"/>
      <c r="E52" s="681"/>
      <c r="F52" s="681"/>
      <c r="G52" s="681"/>
      <c r="H52" s="681"/>
      <c r="I52" s="681"/>
      <c r="J52" s="681"/>
      <c r="K52" s="682"/>
    </row>
    <row r="53" spans="2:11" ht="79.5" customHeight="1">
      <c r="B53" s="677" t="s">
        <v>254</v>
      </c>
      <c r="C53" s="678"/>
      <c r="D53" s="678"/>
      <c r="E53" s="678"/>
      <c r="F53" s="678"/>
      <c r="G53" s="678"/>
      <c r="H53" s="678"/>
      <c r="I53" s="678"/>
      <c r="J53" s="678"/>
      <c r="K53" s="679"/>
    </row>
    <row r="54" spans="2:11" ht="24" customHeight="1">
      <c r="B54" s="680" t="s">
        <v>232</v>
      </c>
      <c r="C54" s="681"/>
      <c r="D54" s="681"/>
      <c r="E54" s="681"/>
      <c r="F54" s="681"/>
      <c r="G54" s="681"/>
      <c r="H54" s="681"/>
      <c r="I54" s="681"/>
      <c r="J54" s="681"/>
      <c r="K54" s="682"/>
    </row>
    <row r="55" spans="2:11" ht="52.5" customHeight="1">
      <c r="B55" s="677" t="s">
        <v>122</v>
      </c>
      <c r="C55" s="678"/>
      <c r="D55" s="678"/>
      <c r="E55" s="678"/>
      <c r="F55" s="678"/>
      <c r="G55" s="678"/>
      <c r="H55" s="678"/>
      <c r="I55" s="678"/>
      <c r="J55" s="678"/>
      <c r="K55" s="679"/>
    </row>
    <row r="56" spans="2:11" ht="24" customHeight="1">
      <c r="B56" s="680" t="s">
        <v>144</v>
      </c>
      <c r="C56" s="681"/>
      <c r="D56" s="681"/>
      <c r="E56" s="681"/>
      <c r="F56" s="681"/>
      <c r="G56" s="681"/>
      <c r="H56" s="681"/>
      <c r="I56" s="681"/>
      <c r="J56" s="681"/>
      <c r="K56" s="682"/>
    </row>
    <row r="57" spans="2:11" ht="51.75" customHeight="1">
      <c r="B57" s="677" t="s">
        <v>242</v>
      </c>
      <c r="C57" s="678"/>
      <c r="D57" s="678"/>
      <c r="E57" s="678"/>
      <c r="F57" s="678"/>
      <c r="G57" s="678"/>
      <c r="H57" s="678"/>
      <c r="I57" s="678"/>
      <c r="J57" s="678"/>
      <c r="K57" s="679"/>
    </row>
    <row r="58" spans="2:11" ht="24" customHeight="1">
      <c r="B58" s="680" t="s">
        <v>145</v>
      </c>
      <c r="C58" s="681"/>
      <c r="D58" s="681"/>
      <c r="E58" s="681"/>
      <c r="F58" s="681"/>
      <c r="G58" s="681"/>
      <c r="H58" s="681"/>
      <c r="I58" s="681"/>
      <c r="J58" s="681"/>
      <c r="K58" s="682"/>
    </row>
    <row r="59" spans="2:11" ht="27" customHeight="1">
      <c r="B59" s="677" t="s">
        <v>12</v>
      </c>
      <c r="C59" s="678"/>
      <c r="D59" s="678"/>
      <c r="E59" s="678"/>
      <c r="F59" s="678"/>
      <c r="G59" s="678"/>
      <c r="H59" s="678"/>
      <c r="I59" s="678"/>
      <c r="J59" s="678"/>
      <c r="K59" s="679"/>
    </row>
    <row r="60" spans="2:11" s="19" customFormat="1" ht="24" customHeight="1">
      <c r="B60" s="680" t="s">
        <v>233</v>
      </c>
      <c r="C60" s="681"/>
      <c r="D60" s="681"/>
      <c r="E60" s="681"/>
      <c r="F60" s="681"/>
      <c r="G60" s="681"/>
      <c r="H60" s="681"/>
      <c r="I60" s="681"/>
      <c r="J60" s="681"/>
      <c r="K60" s="682"/>
    </row>
    <row r="61" spans="2:11" ht="52.5" customHeight="1">
      <c r="B61" s="677" t="s">
        <v>123</v>
      </c>
      <c r="C61" s="678"/>
      <c r="D61" s="678"/>
      <c r="E61" s="678"/>
      <c r="F61" s="678"/>
      <c r="G61" s="678"/>
      <c r="H61" s="678"/>
      <c r="I61" s="678"/>
      <c r="J61" s="678"/>
      <c r="K61" s="679"/>
    </row>
    <row r="62" spans="2:11" ht="24" customHeight="1">
      <c r="B62" s="135"/>
      <c r="C62" s="135"/>
      <c r="D62" s="135"/>
      <c r="E62" s="135"/>
      <c r="F62" s="135"/>
      <c r="G62" s="135"/>
      <c r="H62" s="135"/>
      <c r="I62" s="135"/>
      <c r="J62" s="135"/>
      <c r="K62" s="135"/>
    </row>
    <row r="63" spans="2:11" ht="15.75" customHeight="1">
      <c r="B63" s="693" t="s">
        <v>328</v>
      </c>
      <c r="C63" s="693"/>
      <c r="D63" s="693"/>
      <c r="E63" s="693"/>
      <c r="F63" s="693"/>
      <c r="G63" s="693"/>
      <c r="H63" s="693"/>
      <c r="I63" s="693"/>
      <c r="J63" s="693"/>
      <c r="K63" s="693"/>
    </row>
    <row r="64" spans="2:11" ht="24" customHeight="1">
      <c r="B64" s="10"/>
      <c r="C64" s="10"/>
      <c r="D64" s="10"/>
      <c r="E64" s="10"/>
      <c r="F64" s="10"/>
      <c r="G64" s="10"/>
      <c r="H64" s="10"/>
      <c r="I64" s="10"/>
      <c r="J64" s="10"/>
      <c r="K64" s="10"/>
    </row>
    <row r="65" spans="2:11" ht="54" customHeight="1">
      <c r="B65" s="10"/>
      <c r="C65" s="145" t="s">
        <v>330</v>
      </c>
      <c r="D65" s="146" t="s">
        <v>343</v>
      </c>
      <c r="E65" s="146" t="s">
        <v>344</v>
      </c>
      <c r="F65" s="10"/>
      <c r="G65" s="10"/>
      <c r="H65" s="10"/>
      <c r="I65" s="10"/>
      <c r="J65" s="10"/>
      <c r="K65" s="10"/>
    </row>
    <row r="66" spans="3:5" s="10" customFormat="1" ht="21" customHeight="1">
      <c r="C66" s="147" t="s">
        <v>324</v>
      </c>
      <c r="D66" s="148" t="s">
        <v>326</v>
      </c>
      <c r="E66" s="148">
        <v>4.54609</v>
      </c>
    </row>
    <row r="67" spans="2:11" ht="12.75">
      <c r="B67" s="10"/>
      <c r="C67" s="147" t="s">
        <v>325</v>
      </c>
      <c r="D67" s="148" t="s">
        <v>326</v>
      </c>
      <c r="E67" s="148">
        <v>3.785411784</v>
      </c>
      <c r="F67" s="10"/>
      <c r="G67" s="10"/>
      <c r="H67" s="10"/>
      <c r="I67" s="10"/>
      <c r="J67" s="10"/>
      <c r="K67" s="10"/>
    </row>
    <row r="68" spans="2:11" ht="15">
      <c r="B68" s="10"/>
      <c r="C68" s="147" t="s">
        <v>329</v>
      </c>
      <c r="D68" s="148" t="s">
        <v>326</v>
      </c>
      <c r="E68" s="148">
        <v>1000</v>
      </c>
      <c r="F68" s="10"/>
      <c r="G68" s="10"/>
      <c r="H68" s="10"/>
      <c r="I68" s="10"/>
      <c r="J68" s="10"/>
      <c r="K68" s="10"/>
    </row>
    <row r="69" spans="2:11" ht="15">
      <c r="B69" s="10"/>
      <c r="C69" s="147" t="s">
        <v>82</v>
      </c>
      <c r="D69" s="149" t="s">
        <v>329</v>
      </c>
      <c r="E69" s="148">
        <v>0.001</v>
      </c>
      <c r="F69" s="10"/>
      <c r="G69" s="10"/>
      <c r="H69" s="10"/>
      <c r="I69" s="10"/>
      <c r="J69" s="10"/>
      <c r="K69" s="10"/>
    </row>
    <row r="70" spans="2:11" ht="12.75">
      <c r="B70" s="10"/>
      <c r="C70" s="147" t="s">
        <v>327</v>
      </c>
      <c r="D70" s="148" t="s">
        <v>326</v>
      </c>
      <c r="E70" s="148">
        <v>0.001</v>
      </c>
      <c r="F70" s="10"/>
      <c r="G70" s="10"/>
      <c r="H70" s="10"/>
      <c r="I70" s="10"/>
      <c r="J70" s="10"/>
      <c r="K70" s="10"/>
    </row>
  </sheetData>
  <sheetProtection sheet="1"/>
  <mergeCells count="40">
    <mergeCell ref="C32:K32"/>
    <mergeCell ref="B48:K48"/>
    <mergeCell ref="C34:K34"/>
    <mergeCell ref="C40:K40"/>
    <mergeCell ref="C38:K38"/>
    <mergeCell ref="C37:K37"/>
    <mergeCell ref="B63:K63"/>
    <mergeCell ref="C36:K36"/>
    <mergeCell ref="B9:K9"/>
    <mergeCell ref="B11:K11"/>
    <mergeCell ref="B13:K13"/>
    <mergeCell ref="B15:K15"/>
    <mergeCell ref="B30:K30"/>
    <mergeCell ref="B51:K51"/>
    <mergeCell ref="C31:K31"/>
    <mergeCell ref="C33:K33"/>
    <mergeCell ref="B28:K28"/>
    <mergeCell ref="B22:K22"/>
    <mergeCell ref="B54:K54"/>
    <mergeCell ref="B56:K56"/>
    <mergeCell ref="B53:K53"/>
    <mergeCell ref="C39:K39"/>
    <mergeCell ref="C35:K35"/>
    <mergeCell ref="B52:K52"/>
    <mergeCell ref="C46:K46"/>
    <mergeCell ref="B50:K50"/>
    <mergeCell ref="B3:K3"/>
    <mergeCell ref="B26:K26"/>
    <mergeCell ref="B17:K17"/>
    <mergeCell ref="B21:K21"/>
    <mergeCell ref="B5:K5"/>
    <mergeCell ref="B7:K7"/>
    <mergeCell ref="B24:K24"/>
    <mergeCell ref="B19:K19"/>
    <mergeCell ref="B61:K61"/>
    <mergeCell ref="B55:K55"/>
    <mergeCell ref="B57:K57"/>
    <mergeCell ref="B60:K60"/>
    <mergeCell ref="B59:K59"/>
    <mergeCell ref="B58:K58"/>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27" max="255" man="1"/>
    <brk id="47" max="255" man="1"/>
    <brk id="62"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85" zoomScalePageLayoutView="0" workbookViewId="0" topLeftCell="A1">
      <selection activeCell="A1" sqref="A1"/>
    </sheetView>
  </sheetViews>
  <sheetFormatPr defaultColWidth="9.33203125" defaultRowHeight="12.75"/>
  <cols>
    <col min="1" max="1" width="3.33203125" style="2" customWidth="1"/>
    <col min="2" max="2" width="11.83203125" style="23" customWidth="1"/>
    <col min="3" max="3" width="33.83203125" style="18" customWidth="1"/>
    <col min="4" max="4" width="121" style="18" customWidth="1"/>
    <col min="5" max="5" width="5.5" style="105" customWidth="1"/>
    <col min="6" max="6" width="5.5" style="106" customWidth="1"/>
    <col min="7" max="7" width="9.33203125" style="106" customWidth="1"/>
    <col min="8" max="10" width="9.33203125" style="2" customWidth="1"/>
    <col min="11" max="11" width="20.5" style="2" customWidth="1"/>
    <col min="12" max="16384" width="9.33203125" style="2" customWidth="1"/>
  </cols>
  <sheetData>
    <row r="1" ht="15">
      <c r="B1" s="30" t="s">
        <v>355</v>
      </c>
    </row>
    <row r="2" ht="7.5" customHeight="1"/>
    <row r="3" spans="2:4" ht="17.25">
      <c r="B3" s="704" t="s">
        <v>367</v>
      </c>
      <c r="C3" s="704"/>
      <c r="D3" s="704"/>
    </row>
    <row r="4" spans="2:4" ht="12.75" customHeight="1">
      <c r="B4" s="104"/>
      <c r="C4" s="151"/>
      <c r="D4" s="152"/>
    </row>
    <row r="5" spans="2:4" ht="15">
      <c r="B5" s="705" t="s">
        <v>154</v>
      </c>
      <c r="C5" s="705"/>
      <c r="D5" s="705"/>
    </row>
    <row r="6" spans="2:7" s="11" customFormat="1" ht="40.5" customHeight="1" thickBot="1">
      <c r="B6" s="707" t="s">
        <v>213</v>
      </c>
      <c r="C6" s="708"/>
      <c r="D6" s="708"/>
      <c r="E6" s="105"/>
      <c r="F6" s="106"/>
      <c r="G6" s="106"/>
    </row>
    <row r="7" spans="2:4" ht="40.5" customHeight="1">
      <c r="B7" s="153" t="s">
        <v>579</v>
      </c>
      <c r="C7" s="154" t="s">
        <v>320</v>
      </c>
      <c r="D7" s="155" t="s">
        <v>83</v>
      </c>
    </row>
    <row r="8" spans="2:7" s="11" customFormat="1" ht="27.75" customHeight="1">
      <c r="B8" s="156" t="s">
        <v>1</v>
      </c>
      <c r="C8" s="157" t="s">
        <v>578</v>
      </c>
      <c r="D8" s="158" t="s">
        <v>297</v>
      </c>
      <c r="E8" s="107"/>
      <c r="F8" s="106"/>
      <c r="G8" s="106"/>
    </row>
    <row r="9" spans="2:7" s="11" customFormat="1" ht="108.75" customHeight="1">
      <c r="B9" s="156" t="s">
        <v>152</v>
      </c>
      <c r="C9" s="157" t="s">
        <v>84</v>
      </c>
      <c r="D9" s="158" t="s">
        <v>118</v>
      </c>
      <c r="E9" s="107"/>
      <c r="F9" s="106"/>
      <c r="G9" s="106"/>
    </row>
    <row r="10" spans="2:7" s="11" customFormat="1" ht="54" customHeight="1">
      <c r="B10" s="186" t="s">
        <v>78</v>
      </c>
      <c r="C10" s="159" t="s">
        <v>79</v>
      </c>
      <c r="D10" s="187" t="s">
        <v>223</v>
      </c>
      <c r="E10" s="107"/>
      <c r="F10" s="106"/>
      <c r="G10" s="106"/>
    </row>
    <row r="11" spans="2:7" s="11" customFormat="1" ht="54" customHeight="1">
      <c r="B11" s="156" t="s">
        <v>582</v>
      </c>
      <c r="C11" s="157" t="s">
        <v>319</v>
      </c>
      <c r="D11" s="158" t="s">
        <v>0</v>
      </c>
      <c r="E11" s="107"/>
      <c r="F11" s="106"/>
      <c r="G11" s="106"/>
    </row>
    <row r="12" spans="2:7" s="11" customFormat="1" ht="16.5" customHeight="1" thickBot="1">
      <c r="B12" s="160" t="s">
        <v>214</v>
      </c>
      <c r="C12" s="181" t="s">
        <v>170</v>
      </c>
      <c r="D12" s="188" t="s">
        <v>255</v>
      </c>
      <c r="E12" s="107"/>
      <c r="F12" s="106"/>
      <c r="G12" s="106"/>
    </row>
    <row r="13" spans="2:4" ht="21.75" customHeight="1">
      <c r="B13" s="161"/>
      <c r="C13" s="151"/>
      <c r="D13" s="152"/>
    </row>
    <row r="14" spans="2:4" ht="18" customHeight="1" thickBot="1">
      <c r="B14" s="706" t="s">
        <v>365</v>
      </c>
      <c r="C14" s="706"/>
      <c r="D14" s="706"/>
    </row>
    <row r="15" spans="2:7" ht="32.25" customHeight="1">
      <c r="B15" s="162" t="s">
        <v>29</v>
      </c>
      <c r="C15" s="163" t="s">
        <v>3</v>
      </c>
      <c r="D15" s="164" t="s">
        <v>365</v>
      </c>
      <c r="E15" s="105" t="s">
        <v>153</v>
      </c>
      <c r="G15" s="106" t="s">
        <v>171</v>
      </c>
    </row>
    <row r="16" spans="2:7" ht="30.75" customHeight="1">
      <c r="B16" s="165" t="s">
        <v>31</v>
      </c>
      <c r="C16" s="157" t="s">
        <v>345</v>
      </c>
      <c r="D16" s="166" t="s">
        <v>274</v>
      </c>
      <c r="E16" s="105">
        <v>1</v>
      </c>
      <c r="G16" s="106">
        <v>7</v>
      </c>
    </row>
    <row r="17" spans="2:7" ht="66.75" customHeight="1">
      <c r="B17" s="165" t="s">
        <v>32</v>
      </c>
      <c r="C17" s="157" t="s">
        <v>561</v>
      </c>
      <c r="D17" s="167" t="s">
        <v>293</v>
      </c>
      <c r="E17" s="105">
        <v>2</v>
      </c>
      <c r="G17" s="106">
        <v>28</v>
      </c>
    </row>
    <row r="18" spans="2:7" ht="56.25" customHeight="1">
      <c r="B18" s="165" t="s">
        <v>33</v>
      </c>
      <c r="C18" s="157" t="s">
        <v>562</v>
      </c>
      <c r="D18" s="166" t="s">
        <v>256</v>
      </c>
      <c r="E18" s="105">
        <v>3</v>
      </c>
      <c r="G18" s="106">
        <v>26</v>
      </c>
    </row>
    <row r="19" spans="2:7" ht="39" customHeight="1">
      <c r="B19" s="165" t="s">
        <v>34</v>
      </c>
      <c r="C19" s="157" t="s">
        <v>243</v>
      </c>
      <c r="D19" s="166" t="s">
        <v>380</v>
      </c>
      <c r="E19" s="105">
        <v>4</v>
      </c>
      <c r="G19" s="106">
        <v>19</v>
      </c>
    </row>
    <row r="20" spans="2:7" ht="27" customHeight="1">
      <c r="B20" s="165" t="s">
        <v>35</v>
      </c>
      <c r="C20" s="157" t="s">
        <v>580</v>
      </c>
      <c r="D20" s="167" t="s">
        <v>224</v>
      </c>
      <c r="E20" s="105">
        <v>5</v>
      </c>
      <c r="G20" s="106">
        <v>20</v>
      </c>
    </row>
    <row r="21" spans="2:7" ht="40.5" customHeight="1">
      <c r="B21" s="165" t="s">
        <v>36</v>
      </c>
      <c r="C21" s="157" t="s">
        <v>244</v>
      </c>
      <c r="D21" s="166" t="s">
        <v>236</v>
      </c>
      <c r="E21" s="105">
        <v>6</v>
      </c>
      <c r="G21" s="106">
        <v>21</v>
      </c>
    </row>
    <row r="22" spans="2:4" ht="28.5" customHeight="1">
      <c r="B22" s="165" t="s">
        <v>46</v>
      </c>
      <c r="C22" s="157" t="s">
        <v>337</v>
      </c>
      <c r="D22" s="166" t="s">
        <v>338</v>
      </c>
    </row>
    <row r="23" spans="2:4" ht="26.25" customHeight="1">
      <c r="B23" s="165" t="s">
        <v>47</v>
      </c>
      <c r="C23" s="157" t="s">
        <v>48</v>
      </c>
      <c r="D23" s="166" t="s">
        <v>339</v>
      </c>
    </row>
    <row r="24" spans="2:7" ht="29.25" customHeight="1">
      <c r="B24" s="165" t="s">
        <v>234</v>
      </c>
      <c r="C24" s="157" t="s">
        <v>100</v>
      </c>
      <c r="D24" s="166" t="s">
        <v>235</v>
      </c>
      <c r="E24" s="105">
        <v>6</v>
      </c>
      <c r="G24" s="106">
        <v>21</v>
      </c>
    </row>
    <row r="25" spans="2:7" ht="27.75" customHeight="1">
      <c r="B25" s="165" t="s">
        <v>86</v>
      </c>
      <c r="C25" s="157" t="s">
        <v>196</v>
      </c>
      <c r="D25" s="166" t="s">
        <v>237</v>
      </c>
      <c r="E25" s="105">
        <v>8</v>
      </c>
      <c r="G25" s="106">
        <v>47</v>
      </c>
    </row>
    <row r="26" spans="1:7" ht="102" customHeight="1">
      <c r="A26" s="11"/>
      <c r="B26" s="165" t="s">
        <v>94</v>
      </c>
      <c r="C26" s="157" t="s">
        <v>318</v>
      </c>
      <c r="D26" s="168" t="s">
        <v>257</v>
      </c>
      <c r="E26" s="105">
        <v>22</v>
      </c>
      <c r="G26" s="106" t="s">
        <v>198</v>
      </c>
    </row>
    <row r="27" spans="2:7" s="11" customFormat="1" ht="64.5" customHeight="1">
      <c r="B27" s="165" t="s">
        <v>94</v>
      </c>
      <c r="C27" s="157" t="s">
        <v>30</v>
      </c>
      <c r="D27" s="168" t="s">
        <v>258</v>
      </c>
      <c r="E27" s="105"/>
      <c r="F27" s="106"/>
      <c r="G27" s="106"/>
    </row>
    <row r="28" spans="2:5" ht="27" customHeight="1">
      <c r="B28" s="169" t="s">
        <v>239</v>
      </c>
      <c r="C28" s="157" t="s">
        <v>238</v>
      </c>
      <c r="D28" s="168" t="s">
        <v>259</v>
      </c>
      <c r="E28" s="105">
        <v>9</v>
      </c>
    </row>
    <row r="29" spans="2:7" s="11" customFormat="1" ht="15.75" customHeight="1">
      <c r="B29" s="165" t="s">
        <v>37</v>
      </c>
      <c r="C29" s="157" t="s">
        <v>260</v>
      </c>
      <c r="D29" s="168" t="s">
        <v>261</v>
      </c>
      <c r="E29" s="105"/>
      <c r="F29" s="106"/>
      <c r="G29" s="106"/>
    </row>
    <row r="30" spans="2:7" s="11" customFormat="1" ht="52.5" customHeight="1">
      <c r="B30" s="165" t="s">
        <v>240</v>
      </c>
      <c r="C30" s="157" t="s">
        <v>506</v>
      </c>
      <c r="D30" s="168" t="s">
        <v>109</v>
      </c>
      <c r="E30" s="105"/>
      <c r="F30" s="106"/>
      <c r="G30" s="106"/>
    </row>
    <row r="31" spans="2:7" s="11" customFormat="1" ht="65.25" customHeight="1">
      <c r="B31" s="169" t="s">
        <v>262</v>
      </c>
      <c r="C31" s="170" t="s">
        <v>110</v>
      </c>
      <c r="D31" s="167" t="s">
        <v>157</v>
      </c>
      <c r="E31" s="105">
        <v>25</v>
      </c>
      <c r="F31" s="106"/>
      <c r="G31" s="106"/>
    </row>
    <row r="32" spans="2:7" s="11" customFormat="1" ht="30" customHeight="1">
      <c r="B32" s="169" t="s">
        <v>340</v>
      </c>
      <c r="C32" s="170" t="s">
        <v>111</v>
      </c>
      <c r="D32" s="167" t="s">
        <v>532</v>
      </c>
      <c r="E32" s="105"/>
      <c r="F32" s="106"/>
      <c r="G32" s="106"/>
    </row>
    <row r="33" spans="2:7" s="11" customFormat="1" ht="42" customHeight="1">
      <c r="B33" s="169" t="s">
        <v>341</v>
      </c>
      <c r="C33" s="170" t="s">
        <v>112</v>
      </c>
      <c r="D33" s="167" t="s">
        <v>533</v>
      </c>
      <c r="E33" s="105"/>
      <c r="F33" s="106"/>
      <c r="G33" s="106"/>
    </row>
    <row r="34" spans="2:7" s="11" customFormat="1" ht="30.75" customHeight="1">
      <c r="B34" s="169" t="s">
        <v>342</v>
      </c>
      <c r="C34" s="170" t="s">
        <v>113</v>
      </c>
      <c r="D34" s="167" t="s">
        <v>534</v>
      </c>
      <c r="E34" s="105"/>
      <c r="F34" s="106"/>
      <c r="G34" s="106"/>
    </row>
    <row r="35" spans="2:7" s="11" customFormat="1" ht="39" customHeight="1">
      <c r="B35" s="169" t="s">
        <v>263</v>
      </c>
      <c r="C35" s="170" t="s">
        <v>114</v>
      </c>
      <c r="D35" s="167" t="s">
        <v>124</v>
      </c>
      <c r="E35" s="105">
        <v>51</v>
      </c>
      <c r="F35" s="106"/>
      <c r="G35" s="106"/>
    </row>
    <row r="36" spans="2:7" s="11" customFormat="1" ht="39.75" customHeight="1">
      <c r="B36" s="165" t="s">
        <v>41</v>
      </c>
      <c r="C36" s="170" t="s">
        <v>115</v>
      </c>
      <c r="D36" s="167" t="s">
        <v>125</v>
      </c>
      <c r="E36" s="105"/>
      <c r="F36" s="106"/>
      <c r="G36" s="106"/>
    </row>
    <row r="37" spans="2:5" ht="15.75" customHeight="1">
      <c r="B37" s="169" t="s">
        <v>275</v>
      </c>
      <c r="C37" s="157" t="s">
        <v>346</v>
      </c>
      <c r="D37" s="167" t="s">
        <v>507</v>
      </c>
      <c r="E37" s="105">
        <v>12</v>
      </c>
    </row>
    <row r="38" spans="2:5" ht="39" customHeight="1">
      <c r="B38" s="169" t="s">
        <v>276</v>
      </c>
      <c r="C38" s="157" t="s">
        <v>581</v>
      </c>
      <c r="D38" s="167" t="s">
        <v>116</v>
      </c>
      <c r="E38" s="105">
        <v>13</v>
      </c>
    </row>
    <row r="39" spans="2:5" ht="31.5" customHeight="1">
      <c r="B39" s="169" t="s">
        <v>277</v>
      </c>
      <c r="C39" s="157" t="s">
        <v>575</v>
      </c>
      <c r="D39" s="167" t="s">
        <v>117</v>
      </c>
      <c r="E39" s="105">
        <v>14</v>
      </c>
    </row>
    <row r="40" spans="2:5" ht="30.75" customHeight="1">
      <c r="B40" s="169" t="s">
        <v>278</v>
      </c>
      <c r="C40" s="157" t="s">
        <v>576</v>
      </c>
      <c r="D40" s="167" t="s">
        <v>130</v>
      </c>
      <c r="E40" s="105">
        <v>15</v>
      </c>
    </row>
    <row r="41" spans="2:5" ht="27" customHeight="1">
      <c r="B41" s="169" t="s">
        <v>279</v>
      </c>
      <c r="C41" s="157" t="s">
        <v>197</v>
      </c>
      <c r="D41" s="171" t="s">
        <v>225</v>
      </c>
      <c r="E41" s="105">
        <v>16</v>
      </c>
    </row>
    <row r="42" spans="2:5" ht="27.75" customHeight="1">
      <c r="B42" s="169" t="s">
        <v>280</v>
      </c>
      <c r="C42" s="157" t="s">
        <v>80</v>
      </c>
      <c r="D42" s="167" t="s">
        <v>131</v>
      </c>
      <c r="E42" s="105">
        <v>17</v>
      </c>
    </row>
    <row r="43" spans="2:5" ht="39.75" customHeight="1">
      <c r="B43" s="169" t="s">
        <v>281</v>
      </c>
      <c r="C43" s="157" t="s">
        <v>294</v>
      </c>
      <c r="D43" s="167" t="s">
        <v>282</v>
      </c>
      <c r="E43" s="105">
        <v>31</v>
      </c>
    </row>
    <row r="44" spans="2:5" ht="39.75" customHeight="1">
      <c r="B44" s="169" t="s">
        <v>283</v>
      </c>
      <c r="C44" s="170" t="s">
        <v>284</v>
      </c>
      <c r="D44" s="167" t="s">
        <v>126</v>
      </c>
      <c r="E44" s="105">
        <v>52</v>
      </c>
    </row>
    <row r="45" spans="2:4" ht="39.75" customHeight="1">
      <c r="B45" s="172" t="s">
        <v>218</v>
      </c>
      <c r="C45" s="173" t="s">
        <v>132</v>
      </c>
      <c r="D45" s="174" t="s">
        <v>133</v>
      </c>
    </row>
    <row r="46" spans="1:7" s="11" customFormat="1" ht="15.75" customHeight="1">
      <c r="A46" s="2"/>
      <c r="B46" s="175" t="s">
        <v>285</v>
      </c>
      <c r="C46" s="176" t="s">
        <v>38</v>
      </c>
      <c r="D46" s="177" t="s">
        <v>5</v>
      </c>
      <c r="E46" s="105">
        <v>32</v>
      </c>
      <c r="F46" s="106"/>
      <c r="G46" s="106"/>
    </row>
    <row r="47" spans="1:7" s="11" customFormat="1" ht="30" customHeight="1">
      <c r="A47" s="2"/>
      <c r="B47" s="175" t="s">
        <v>219</v>
      </c>
      <c r="C47" s="178" t="s">
        <v>134</v>
      </c>
      <c r="D47" s="167" t="s">
        <v>221</v>
      </c>
      <c r="E47" s="105"/>
      <c r="F47" s="106"/>
      <c r="G47" s="106"/>
    </row>
    <row r="48" spans="1:7" s="11" customFormat="1" ht="41.25" customHeight="1">
      <c r="A48" s="2"/>
      <c r="B48" s="175" t="s">
        <v>220</v>
      </c>
      <c r="C48" s="178" t="s">
        <v>135</v>
      </c>
      <c r="D48" s="167" t="s">
        <v>127</v>
      </c>
      <c r="E48" s="105"/>
      <c r="F48" s="106"/>
      <c r="G48" s="106"/>
    </row>
    <row r="49" spans="1:7" s="11" customFormat="1" ht="26.25" customHeight="1">
      <c r="A49" s="2"/>
      <c r="B49" s="165" t="s">
        <v>42</v>
      </c>
      <c r="C49" s="170" t="s">
        <v>136</v>
      </c>
      <c r="D49" s="167" t="s">
        <v>546</v>
      </c>
      <c r="E49" s="105"/>
      <c r="F49" s="106"/>
      <c r="G49" s="106"/>
    </row>
    <row r="50" spans="1:5" ht="29.25" customHeight="1">
      <c r="A50" s="11"/>
      <c r="B50" s="169" t="s">
        <v>286</v>
      </c>
      <c r="C50" s="157" t="s">
        <v>16</v>
      </c>
      <c r="D50" s="167" t="s">
        <v>162</v>
      </c>
      <c r="E50" s="105">
        <v>27</v>
      </c>
    </row>
    <row r="51" spans="2:7" s="11" customFormat="1" ht="38.25" customHeight="1">
      <c r="B51" s="169" t="s">
        <v>287</v>
      </c>
      <c r="C51" s="157" t="s">
        <v>295</v>
      </c>
      <c r="D51" s="167" t="s">
        <v>228</v>
      </c>
      <c r="E51" s="105">
        <v>30</v>
      </c>
      <c r="F51" s="106"/>
      <c r="G51" s="106"/>
    </row>
    <row r="52" spans="2:7" s="11" customFormat="1" ht="41.25" customHeight="1">
      <c r="B52" s="169" t="s">
        <v>249</v>
      </c>
      <c r="C52" s="157" t="s">
        <v>20</v>
      </c>
      <c r="D52" s="167" t="s">
        <v>248</v>
      </c>
      <c r="E52" s="105">
        <v>29</v>
      </c>
      <c r="F52" s="106"/>
      <c r="G52" s="106"/>
    </row>
    <row r="53" spans="2:7" s="11" customFormat="1" ht="41.25" customHeight="1">
      <c r="B53" s="169" t="s">
        <v>250</v>
      </c>
      <c r="C53" s="157" t="s">
        <v>572</v>
      </c>
      <c r="D53" s="167" t="s">
        <v>252</v>
      </c>
      <c r="E53" s="105"/>
      <c r="F53" s="106"/>
      <c r="G53" s="106"/>
    </row>
    <row r="54" spans="2:7" s="11" customFormat="1" ht="41.25" customHeight="1">
      <c r="B54" s="169" t="s">
        <v>251</v>
      </c>
      <c r="C54" s="157" t="s">
        <v>573</v>
      </c>
      <c r="D54" s="167" t="s">
        <v>253</v>
      </c>
      <c r="E54" s="105"/>
      <c r="F54" s="106"/>
      <c r="G54" s="106"/>
    </row>
    <row r="55" spans="2:7" s="11" customFormat="1" ht="52.5" customHeight="1">
      <c r="B55" s="169" t="s">
        <v>298</v>
      </c>
      <c r="C55" s="157" t="s">
        <v>103</v>
      </c>
      <c r="D55" s="168" t="s">
        <v>541</v>
      </c>
      <c r="E55" s="105">
        <v>18</v>
      </c>
      <c r="F55" s="106"/>
      <c r="G55" s="106"/>
    </row>
    <row r="56" spans="2:7" s="11" customFormat="1" ht="52.5" customHeight="1">
      <c r="B56" s="169" t="s">
        <v>26</v>
      </c>
      <c r="C56" s="170" t="s">
        <v>27</v>
      </c>
      <c r="D56" s="168" t="s">
        <v>302</v>
      </c>
      <c r="E56" s="105"/>
      <c r="F56" s="106"/>
      <c r="G56" s="106"/>
    </row>
    <row r="57" spans="1:7" s="11" customFormat="1" ht="42" customHeight="1">
      <c r="A57" s="2"/>
      <c r="B57" s="169" t="s">
        <v>535</v>
      </c>
      <c r="C57" s="157" t="s">
        <v>216</v>
      </c>
      <c r="D57" s="167" t="s">
        <v>226</v>
      </c>
      <c r="E57" s="105"/>
      <c r="F57" s="106"/>
      <c r="G57" s="106"/>
    </row>
    <row r="58" spans="1:7" s="11" customFormat="1" ht="41.25" customHeight="1">
      <c r="A58" s="2"/>
      <c r="B58" s="169" t="s">
        <v>536</v>
      </c>
      <c r="C58" s="157" t="s">
        <v>217</v>
      </c>
      <c r="D58" s="167" t="s">
        <v>121</v>
      </c>
      <c r="E58" s="105"/>
      <c r="F58" s="106"/>
      <c r="G58" s="106"/>
    </row>
    <row r="59" spans="1:7" s="11" customFormat="1" ht="58.5" customHeight="1">
      <c r="A59" s="2"/>
      <c r="B59" s="169" t="s">
        <v>537</v>
      </c>
      <c r="C59" s="157" t="s">
        <v>149</v>
      </c>
      <c r="D59" s="167" t="s">
        <v>331</v>
      </c>
      <c r="E59" s="105">
        <v>34</v>
      </c>
      <c r="F59" s="106"/>
      <c r="G59" s="106"/>
    </row>
    <row r="60" spans="2:5" ht="56.25" customHeight="1">
      <c r="B60" s="169" t="s">
        <v>538</v>
      </c>
      <c r="C60" s="157" t="s">
        <v>151</v>
      </c>
      <c r="D60" s="167" t="s">
        <v>334</v>
      </c>
      <c r="E60" s="105">
        <v>35</v>
      </c>
    </row>
    <row r="61" spans="2:5" ht="67.5" customHeight="1">
      <c r="B61" s="169" t="s">
        <v>539</v>
      </c>
      <c r="C61" s="157" t="s">
        <v>569</v>
      </c>
      <c r="D61" s="167" t="s">
        <v>215</v>
      </c>
      <c r="E61" s="105">
        <v>53</v>
      </c>
    </row>
    <row r="62" spans="1:5" ht="51.75" customHeight="1">
      <c r="A62" s="111"/>
      <c r="B62" s="169" t="s">
        <v>540</v>
      </c>
      <c r="C62" s="157" t="s">
        <v>314</v>
      </c>
      <c r="D62" s="168" t="s">
        <v>307</v>
      </c>
      <c r="E62" s="105">
        <v>36</v>
      </c>
    </row>
    <row r="63" spans="1:7" s="22" customFormat="1" ht="39">
      <c r="A63" s="2"/>
      <c r="B63" s="169" t="s">
        <v>308</v>
      </c>
      <c r="C63" s="157" t="s">
        <v>39</v>
      </c>
      <c r="D63" s="167" t="s">
        <v>200</v>
      </c>
      <c r="E63" s="105">
        <v>42</v>
      </c>
      <c r="F63" s="108"/>
      <c r="G63" s="108"/>
    </row>
    <row r="64" spans="2:5" ht="27.75" customHeight="1">
      <c r="B64" s="169" t="s">
        <v>288</v>
      </c>
      <c r="C64" s="157" t="s">
        <v>10</v>
      </c>
      <c r="D64" s="167" t="s">
        <v>158</v>
      </c>
      <c r="E64" s="105">
        <v>43</v>
      </c>
    </row>
    <row r="65" spans="1:5" ht="27.75" customHeight="1">
      <c r="A65" s="11"/>
      <c r="B65" s="169" t="s">
        <v>289</v>
      </c>
      <c r="C65" s="157" t="s">
        <v>11</v>
      </c>
      <c r="D65" s="167" t="s">
        <v>159</v>
      </c>
      <c r="E65" s="105">
        <v>44</v>
      </c>
    </row>
    <row r="66" spans="1:5" ht="40.5" customHeight="1">
      <c r="A66" s="11"/>
      <c r="B66" s="169" t="s">
        <v>290</v>
      </c>
      <c r="C66" s="157" t="s">
        <v>128</v>
      </c>
      <c r="D66" s="167" t="s">
        <v>160</v>
      </c>
      <c r="E66" s="105">
        <v>45</v>
      </c>
    </row>
    <row r="67" spans="2:7" s="11" customFormat="1" ht="27.75" customHeight="1">
      <c r="B67" s="169" t="s">
        <v>291</v>
      </c>
      <c r="C67" s="157" t="s">
        <v>169</v>
      </c>
      <c r="D67" s="167" t="s">
        <v>161</v>
      </c>
      <c r="E67" s="105">
        <v>46</v>
      </c>
      <c r="F67" s="106"/>
      <c r="G67" s="106"/>
    </row>
    <row r="68" spans="1:7" s="11" customFormat="1" ht="27.75" customHeight="1">
      <c r="A68" s="2"/>
      <c r="B68" s="165"/>
      <c r="C68" s="157" t="s">
        <v>315</v>
      </c>
      <c r="D68" s="167" t="s">
        <v>316</v>
      </c>
      <c r="E68" s="105">
        <v>48</v>
      </c>
      <c r="F68" s="106"/>
      <c r="G68" s="106"/>
    </row>
    <row r="69" spans="2:16" ht="39.75" customHeight="1">
      <c r="B69" s="165"/>
      <c r="C69" s="176" t="s">
        <v>204</v>
      </c>
      <c r="D69" s="179" t="s">
        <v>335</v>
      </c>
      <c r="E69" s="105">
        <v>49</v>
      </c>
      <c r="H69" s="11"/>
      <c r="I69" s="11"/>
      <c r="J69" s="11"/>
      <c r="K69" s="11"/>
      <c r="L69" s="11"/>
      <c r="M69" s="11"/>
      <c r="N69" s="11"/>
      <c r="O69" s="11"/>
      <c r="P69" s="11"/>
    </row>
    <row r="70" spans="2:16" ht="40.5" customHeight="1" thickBot="1">
      <c r="B70" s="180"/>
      <c r="C70" s="181" t="s">
        <v>577</v>
      </c>
      <c r="D70" s="182" t="s">
        <v>336</v>
      </c>
      <c r="E70" s="105">
        <v>50</v>
      </c>
      <c r="H70" s="11"/>
      <c r="I70" s="11"/>
      <c r="J70" s="11"/>
      <c r="K70" s="11"/>
      <c r="L70" s="11"/>
      <c r="M70" s="11"/>
      <c r="N70" s="11"/>
      <c r="O70" s="11"/>
      <c r="P70" s="11"/>
    </row>
    <row r="71" spans="2:4" ht="12.75">
      <c r="B71" s="104"/>
      <c r="C71" s="42"/>
      <c r="D71" s="42"/>
    </row>
    <row r="72" spans="2:4" ht="12.75">
      <c r="B72" s="104"/>
      <c r="C72" s="42"/>
      <c r="D72" s="42"/>
    </row>
    <row r="73" spans="2:4" ht="12.75">
      <c r="B73" s="104"/>
      <c r="C73" s="42"/>
      <c r="D73" s="42"/>
    </row>
    <row r="74" spans="2:4" ht="12.75">
      <c r="B74" s="104"/>
      <c r="C74" s="42"/>
      <c r="D74" s="42"/>
    </row>
    <row r="75" spans="2:4" ht="12.75">
      <c r="B75" s="104"/>
      <c r="C75" s="42"/>
      <c r="D75" s="42"/>
    </row>
    <row r="76" spans="2:4" ht="12.75">
      <c r="B76" s="104"/>
      <c r="C76" s="42"/>
      <c r="D76" s="42"/>
    </row>
    <row r="77" spans="2:4" ht="12.75">
      <c r="B77" s="104"/>
      <c r="C77" s="42"/>
      <c r="D77" s="42"/>
    </row>
    <row r="78" spans="2:4" ht="12.75">
      <c r="B78" s="104"/>
      <c r="C78" s="42"/>
      <c r="D78" s="42"/>
    </row>
    <row r="79" spans="2:4" ht="12.75">
      <c r="B79" s="104"/>
      <c r="C79" s="42"/>
      <c r="D79" s="42"/>
    </row>
    <row r="80" spans="2:4" ht="12.75">
      <c r="B80" s="104"/>
      <c r="C80" s="42"/>
      <c r="D80" s="42"/>
    </row>
    <row r="81" spans="2:4" ht="12.75">
      <c r="B81" s="104"/>
      <c r="C81" s="42"/>
      <c r="D81" s="42"/>
    </row>
    <row r="82" spans="2:4" ht="12.75">
      <c r="B82" s="104"/>
      <c r="C82" s="42"/>
      <c r="D82" s="42"/>
    </row>
    <row r="83" spans="2:4" ht="12.75">
      <c r="B83" s="104"/>
      <c r="C83" s="42"/>
      <c r="D83" s="42"/>
    </row>
    <row r="84" spans="2:4" ht="12.75">
      <c r="B84" s="104"/>
      <c r="C84" s="42"/>
      <c r="D84" s="42"/>
    </row>
    <row r="85" spans="2:4" ht="12.75">
      <c r="B85" s="104"/>
      <c r="C85" s="42"/>
      <c r="D85" s="42"/>
    </row>
    <row r="86" spans="2:4" ht="12.75">
      <c r="B86" s="104"/>
      <c r="C86" s="42"/>
      <c r="D86" s="42"/>
    </row>
    <row r="87" spans="2:4" ht="12.75">
      <c r="B87" s="104"/>
      <c r="C87" s="42"/>
      <c r="D87" s="42"/>
    </row>
    <row r="88" spans="2:4" ht="12.75">
      <c r="B88" s="104"/>
      <c r="C88" s="42"/>
      <c r="D88" s="42"/>
    </row>
    <row r="89" spans="2:4" ht="12.75">
      <c r="B89" s="104"/>
      <c r="C89" s="42"/>
      <c r="D89" s="42"/>
    </row>
    <row r="90" spans="2:4" ht="12.75">
      <c r="B90" s="104"/>
      <c r="C90" s="42"/>
      <c r="D90" s="42"/>
    </row>
    <row r="91" spans="2:4" ht="12.75">
      <c r="B91" s="104"/>
      <c r="C91" s="42"/>
      <c r="D91" s="42"/>
    </row>
    <row r="92" spans="2:4" ht="12.75">
      <c r="B92" s="104"/>
      <c r="C92" s="42"/>
      <c r="D92" s="42"/>
    </row>
    <row r="93" spans="2:4" ht="12.75">
      <c r="B93" s="104"/>
      <c r="C93" s="42"/>
      <c r="D93" s="42"/>
    </row>
    <row r="94" spans="2:4" ht="12.75">
      <c r="B94" s="104"/>
      <c r="C94" s="42"/>
      <c r="D94" s="42"/>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R66"/>
  <sheetViews>
    <sheetView showGridLines="0" zoomScale="70" zoomScaleNormal="70" zoomScaleSheetLayoutView="100" zoomScalePageLayoutView="0" workbookViewId="0" topLeftCell="A1">
      <selection activeCell="A1" sqref="A1"/>
    </sheetView>
  </sheetViews>
  <sheetFormatPr defaultColWidth="9.33203125"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7" width="19.83203125" style="49" customWidth="1"/>
    <col min="8" max="8" width="19.16015625" style="49" customWidth="1"/>
    <col min="9" max="9" width="21.5" style="49" customWidth="1"/>
    <col min="10" max="10" width="2.16015625" style="49" customWidth="1"/>
    <col min="11" max="11" width="8.33203125" style="49" customWidth="1"/>
    <col min="12" max="12" width="3.16015625" style="49" customWidth="1"/>
    <col min="13" max="13" width="23.33203125" style="49" customWidth="1"/>
    <col min="14" max="14" width="13.83203125" style="49" customWidth="1"/>
    <col min="15" max="15" width="19" style="49" customWidth="1"/>
    <col min="16" max="17" width="10.33203125" style="49" customWidth="1"/>
    <col min="18" max="18" width="5.83203125" style="49" customWidth="1"/>
    <col min="19" max="19" width="24.5" style="49" customWidth="1"/>
    <col min="20" max="20" width="6.33203125" style="49" customWidth="1"/>
    <col min="21" max="21" width="2.66015625" style="49" customWidth="1"/>
    <col min="22" max="22" width="16.5" style="49" customWidth="1"/>
    <col min="23" max="23" width="2.16015625" style="49" customWidth="1"/>
    <col min="24" max="24" width="12" style="49" bestFit="1" customWidth="1"/>
    <col min="25" max="25" width="8.16015625" style="49" customWidth="1"/>
    <col min="26" max="26" width="17" style="49" customWidth="1"/>
    <col min="27" max="27" width="2.33203125" style="49" customWidth="1"/>
    <col min="28" max="28" width="12" style="49" bestFit="1" customWidth="1"/>
    <col min="29" max="29" width="8.5" style="49" customWidth="1"/>
    <col min="30" max="30" width="16.66015625" style="49" customWidth="1"/>
    <col min="31" max="31" width="2.66015625" style="49" customWidth="1"/>
    <col min="32" max="32" width="12" style="49" bestFit="1" customWidth="1"/>
    <col min="33" max="33" width="8.83203125" style="49" customWidth="1"/>
    <col min="34" max="34" width="17.66015625" style="49" customWidth="1"/>
    <col min="35" max="35" width="2.16015625" style="49" customWidth="1"/>
    <col min="36" max="36" width="12" style="49" bestFit="1" customWidth="1"/>
    <col min="37" max="37" width="3.16015625" style="49" customWidth="1"/>
    <col min="38" max="38" width="11.83203125" style="49" customWidth="1"/>
    <col min="39" max="39" width="4" style="49" customWidth="1"/>
    <col min="40" max="40" width="11.5" style="49" customWidth="1"/>
    <col min="41" max="41" width="2.5" style="49" customWidth="1"/>
    <col min="42" max="42" width="9.33203125" style="49" customWidth="1"/>
    <col min="43" max="43" width="2" style="49" customWidth="1"/>
    <col min="44" max="44" width="2.66015625" style="49" customWidth="1"/>
    <col min="45" max="16384" width="9.33203125" style="49" customWidth="1"/>
  </cols>
  <sheetData>
    <row r="1" spans="1:122" ht="15">
      <c r="A1" s="47"/>
      <c r="B1" s="47"/>
      <c r="C1" s="47"/>
      <c r="D1" s="48" t="s">
        <v>355</v>
      </c>
      <c r="E1" s="48"/>
      <c r="F1" s="48"/>
      <c r="G1" s="48"/>
      <c r="H1" s="48"/>
      <c r="I1" s="48"/>
      <c r="J1" s="48"/>
      <c r="K1" s="48"/>
      <c r="L1" s="48"/>
      <c r="M1" s="48"/>
      <c r="N1" s="48"/>
      <c r="O1" s="48"/>
      <c r="P1" s="48"/>
      <c r="Q1" s="48"/>
      <c r="R1" s="48"/>
      <c r="S1" s="48"/>
      <c r="T1" s="48"/>
      <c r="U1" s="48"/>
      <c r="V1" s="95"/>
      <c r="W1" s="95"/>
      <c r="X1" s="95"/>
      <c r="Y1" s="95"/>
      <c r="Z1" s="95"/>
      <c r="AA1" s="95"/>
      <c r="AB1" s="95"/>
      <c r="AC1" s="95"/>
      <c r="AD1" s="95"/>
      <c r="AE1" s="95"/>
      <c r="AF1" s="95"/>
      <c r="AG1" s="95"/>
      <c r="AH1" s="95"/>
      <c r="AI1" s="95"/>
      <c r="AJ1" s="95"/>
      <c r="AK1" s="95"/>
      <c r="AL1" s="95"/>
      <c r="AM1" s="95"/>
      <c r="AN1" s="95"/>
      <c r="AO1" s="95"/>
      <c r="AP1" s="95"/>
      <c r="AQ1" s="95"/>
      <c r="AR1" s="95"/>
      <c r="AS1" s="96"/>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row>
    <row r="2" spans="1:122" s="21" customFormat="1" ht="33" customHeight="1">
      <c r="A2" s="109"/>
      <c r="B2" s="109"/>
      <c r="C2" s="109"/>
      <c r="D2" s="719" t="s">
        <v>229</v>
      </c>
      <c r="E2" s="719"/>
      <c r="F2" s="719"/>
      <c r="G2" s="719"/>
      <c r="H2" s="719"/>
      <c r="I2" s="719"/>
      <c r="J2" s="719"/>
      <c r="K2" s="719"/>
      <c r="L2" s="719"/>
      <c r="M2" s="719"/>
      <c r="N2" s="719"/>
      <c r="O2" s="719"/>
      <c r="P2" s="719"/>
      <c r="Q2" s="719"/>
      <c r="R2" s="719"/>
      <c r="S2" s="719"/>
      <c r="T2" s="719"/>
      <c r="U2" s="719"/>
      <c r="V2" s="98"/>
      <c r="W2" s="98"/>
      <c r="X2" s="98"/>
      <c r="Y2" s="98"/>
      <c r="Z2" s="98"/>
      <c r="AA2" s="98"/>
      <c r="AB2" s="98"/>
      <c r="AC2" s="98"/>
      <c r="AD2" s="98"/>
      <c r="AE2" s="55"/>
      <c r="AF2" s="97"/>
      <c r="AG2" s="113"/>
      <c r="AH2" s="113"/>
      <c r="AI2" s="113"/>
      <c r="AJ2" s="113"/>
      <c r="AK2" s="113"/>
      <c r="AL2" s="113"/>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1:122" ht="15">
      <c r="A3" s="47"/>
      <c r="B3" s="47"/>
      <c r="C3" s="47"/>
      <c r="D3" s="720" t="s">
        <v>312</v>
      </c>
      <c r="E3" s="720"/>
      <c r="F3" s="720"/>
      <c r="G3" s="720"/>
      <c r="H3" s="720"/>
      <c r="I3" s="720"/>
      <c r="J3" s="720"/>
      <c r="K3" s="720"/>
      <c r="L3" s="720"/>
      <c r="M3" s="720"/>
      <c r="N3" s="720"/>
      <c r="O3" s="720"/>
      <c r="P3" s="720"/>
      <c r="Q3" s="720"/>
      <c r="R3" s="720"/>
      <c r="S3" s="720"/>
      <c r="T3" s="720"/>
      <c r="U3" s="720"/>
      <c r="V3" s="95"/>
      <c r="W3" s="95"/>
      <c r="X3" s="95"/>
      <c r="Y3" s="95"/>
      <c r="Z3" s="95"/>
      <c r="AA3" s="95"/>
      <c r="AB3" s="95"/>
      <c r="AC3" s="95"/>
      <c r="AD3" s="95"/>
      <c r="AE3" s="95"/>
      <c r="AF3" s="95"/>
      <c r="AG3" s="95"/>
      <c r="AH3" s="95"/>
      <c r="AI3" s="95"/>
      <c r="AJ3" s="95"/>
      <c r="AK3" s="95"/>
      <c r="AL3" s="95"/>
      <c r="AM3" s="95"/>
      <c r="AN3" s="95"/>
      <c r="AO3" s="95"/>
      <c r="AP3" s="95"/>
      <c r="AQ3" s="95"/>
      <c r="AR3" s="95"/>
      <c r="AS3" s="96"/>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ht="5.25" customHeight="1" thickBot="1">
      <c r="A4" s="47"/>
      <c r="B4" s="47"/>
      <c r="C4" s="47"/>
      <c r="D4" s="47"/>
      <c r="E4" s="47"/>
      <c r="F4" s="47"/>
      <c r="G4" s="47"/>
      <c r="H4" s="47"/>
      <c r="I4" s="47"/>
      <c r="J4" s="47"/>
      <c r="K4" s="47"/>
      <c r="L4" s="47"/>
      <c r="M4" s="47"/>
      <c r="N4" s="47"/>
      <c r="O4" s="47"/>
      <c r="P4" s="47"/>
      <c r="Q4" s="47"/>
      <c r="R4" s="47"/>
      <c r="S4" s="47"/>
      <c r="T4" s="47"/>
      <c r="U4" s="47"/>
      <c r="V4" s="96"/>
      <c r="W4" s="96"/>
      <c r="X4" s="96"/>
      <c r="Y4" s="96"/>
      <c r="Z4" s="96"/>
      <c r="AA4" s="96"/>
      <c r="AB4" s="96"/>
      <c r="AC4" s="96"/>
      <c r="AD4" s="96"/>
      <c r="AE4" s="96"/>
      <c r="AF4" s="96"/>
      <c r="AG4" s="96"/>
      <c r="AH4" s="96"/>
      <c r="AI4" s="96"/>
      <c r="AJ4" s="96"/>
      <c r="AK4" s="96"/>
      <c r="AL4" s="96"/>
      <c r="AM4" s="96"/>
      <c r="AN4" s="96"/>
      <c r="AO4" s="96"/>
      <c r="AP4" s="96"/>
      <c r="AQ4" s="96"/>
      <c r="AR4" s="96"/>
      <c r="AS4" s="96"/>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ht="12.75" customHeight="1">
      <c r="A5" s="47"/>
      <c r="B5" s="59"/>
      <c r="C5" s="69"/>
      <c r="D5" s="60"/>
      <c r="E5" s="61"/>
      <c r="F5" s="61"/>
      <c r="G5" s="60"/>
      <c r="H5" s="61"/>
      <c r="I5" s="61"/>
      <c r="J5" s="61"/>
      <c r="K5" s="61"/>
      <c r="L5" s="61"/>
      <c r="M5" s="61"/>
      <c r="N5" s="61"/>
      <c r="O5" s="62"/>
      <c r="P5" s="61"/>
      <c r="Q5" s="61"/>
      <c r="R5" s="61"/>
      <c r="S5" s="61"/>
      <c r="T5" s="61"/>
      <c r="U5" s="63"/>
      <c r="V5" s="56"/>
      <c r="W5" s="56"/>
      <c r="X5" s="96"/>
      <c r="Y5" s="96"/>
      <c r="Z5" s="96"/>
      <c r="AA5" s="96"/>
      <c r="AB5" s="96"/>
      <c r="AC5" s="96"/>
      <c r="AD5" s="96"/>
      <c r="AE5" s="96"/>
      <c r="AF5" s="96"/>
      <c r="AG5" s="96"/>
      <c r="AH5" s="96"/>
      <c r="AI5" s="96"/>
      <c r="AJ5" s="96"/>
      <c r="AK5" s="96"/>
      <c r="AL5" s="96"/>
      <c r="AM5" s="96"/>
      <c r="AN5" s="96"/>
      <c r="AO5" s="96"/>
      <c r="AP5" s="96"/>
      <c r="AQ5" s="96"/>
      <c r="AR5" s="96"/>
      <c r="AS5" s="96"/>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row>
    <row r="6" spans="1:122" ht="6" customHeight="1">
      <c r="A6" s="47"/>
      <c r="B6" s="64"/>
      <c r="C6" s="71"/>
      <c r="D6" s="72"/>
      <c r="E6" s="73"/>
      <c r="F6" s="73"/>
      <c r="G6" s="73"/>
      <c r="H6" s="73"/>
      <c r="I6" s="73"/>
      <c r="J6" s="73"/>
      <c r="K6" s="73"/>
      <c r="L6" s="73"/>
      <c r="M6" s="73"/>
      <c r="N6" s="73"/>
      <c r="O6" s="73"/>
      <c r="P6" s="73"/>
      <c r="Q6" s="74"/>
      <c r="R6" s="73"/>
      <c r="S6" s="73"/>
      <c r="T6" s="75"/>
      <c r="U6" s="65"/>
      <c r="V6" s="96"/>
      <c r="W6" s="96"/>
      <c r="X6" s="96"/>
      <c r="Y6" s="96"/>
      <c r="Z6" s="96"/>
      <c r="AA6" s="96"/>
      <c r="AB6" s="96"/>
      <c r="AC6" s="96"/>
      <c r="AD6" s="96"/>
      <c r="AE6" s="96"/>
      <c r="AF6" s="96"/>
      <c r="AG6" s="96"/>
      <c r="AH6" s="96"/>
      <c r="AI6" s="96"/>
      <c r="AJ6" s="96"/>
      <c r="AK6" s="96"/>
      <c r="AL6" s="96"/>
      <c r="AM6" s="96"/>
      <c r="AN6" s="96"/>
      <c r="AO6" s="96"/>
      <c r="AP6" s="96"/>
      <c r="AQ6" s="96"/>
      <c r="AR6" s="96"/>
      <c r="AS6" s="96"/>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row>
    <row r="7" spans="1:101" ht="43.5" customHeight="1">
      <c r="A7" s="47"/>
      <c r="B7" s="64"/>
      <c r="C7" s="76"/>
      <c r="D7" s="52"/>
      <c r="E7" s="86"/>
      <c r="F7" s="87" t="str">
        <f>'W1'!D8&amp;" (W1,1)"</f>
        <v>Precipitation                               (W1,1)</v>
      </c>
      <c r="G7" s="87" t="str">
        <f>'W1'!D9&amp;" (W1,2)"</f>
        <v>Actual evapotranspiration (W1,2)</v>
      </c>
      <c r="H7" s="86"/>
      <c r="I7" s="86"/>
      <c r="J7" s="86"/>
      <c r="K7" s="86"/>
      <c r="L7" s="86"/>
      <c r="M7" s="86"/>
      <c r="N7" s="86"/>
      <c r="O7" s="86"/>
      <c r="P7" s="86"/>
      <c r="Q7" s="86"/>
      <c r="R7" s="86"/>
      <c r="S7" s="86"/>
      <c r="T7" s="77"/>
      <c r="U7" s="65"/>
      <c r="V7" s="96"/>
      <c r="W7" s="96"/>
      <c r="X7" s="96"/>
      <c r="Y7" s="96"/>
      <c r="Z7" s="96"/>
      <c r="AA7" s="96"/>
      <c r="AB7" s="96"/>
      <c r="AC7" s="96"/>
      <c r="AD7" s="96"/>
      <c r="AE7" s="96"/>
      <c r="AF7" s="96"/>
      <c r="AG7" s="96"/>
      <c r="AH7" s="96"/>
      <c r="AI7" s="96"/>
      <c r="AJ7" s="96"/>
      <c r="AK7" s="96"/>
      <c r="AL7" s="96"/>
      <c r="AM7" s="96"/>
      <c r="AN7" s="96"/>
      <c r="AO7" s="96"/>
      <c r="AP7" s="96"/>
      <c r="AQ7" s="96"/>
      <c r="AR7" s="96"/>
      <c r="AS7" s="96"/>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01" ht="12.75">
      <c r="A8" s="47"/>
      <c r="B8" s="64"/>
      <c r="C8" s="76"/>
      <c r="D8" s="88"/>
      <c r="E8" s="86"/>
      <c r="F8" s="89"/>
      <c r="G8" s="89"/>
      <c r="H8" s="86"/>
      <c r="I8" s="86"/>
      <c r="J8" s="86"/>
      <c r="K8" s="86"/>
      <c r="L8" s="86"/>
      <c r="M8" s="86"/>
      <c r="N8" s="86"/>
      <c r="O8" s="86"/>
      <c r="P8" s="86"/>
      <c r="Q8" s="86"/>
      <c r="R8" s="86"/>
      <c r="S8" s="86"/>
      <c r="T8" s="77"/>
      <c r="U8" s="65"/>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01" ht="6" customHeight="1">
      <c r="A9" s="47"/>
      <c r="B9" s="64"/>
      <c r="C9" s="76"/>
      <c r="D9" s="52"/>
      <c r="E9" s="86"/>
      <c r="F9" s="86"/>
      <c r="G9" s="86"/>
      <c r="H9" s="86"/>
      <c r="I9" s="86"/>
      <c r="J9" s="86"/>
      <c r="K9" s="86"/>
      <c r="L9" s="86"/>
      <c r="M9" s="86"/>
      <c r="N9" s="86"/>
      <c r="O9" s="86"/>
      <c r="P9" s="86"/>
      <c r="Q9" s="86"/>
      <c r="R9" s="86"/>
      <c r="S9" s="86"/>
      <c r="T9" s="77"/>
      <c r="U9" s="65"/>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row>
    <row r="10" spans="1:101" ht="27" customHeight="1">
      <c r="A10" s="47"/>
      <c r="B10" s="64"/>
      <c r="C10" s="76"/>
      <c r="D10" s="52"/>
      <c r="E10" s="86"/>
      <c r="F10" s="721" t="str">
        <f>LEFT('W1'!D10,LEN('W1'!D10)-7)&amp;" (W1,3)"</f>
        <v>Internal flow (W1,3)</v>
      </c>
      <c r="G10" s="722"/>
      <c r="H10" s="86"/>
      <c r="J10" s="86"/>
      <c r="K10" s="86"/>
      <c r="L10" s="86"/>
      <c r="M10" s="86"/>
      <c r="N10" s="86"/>
      <c r="O10" s="734" t="s">
        <v>86</v>
      </c>
      <c r="P10" s="715" t="s">
        <v>94</v>
      </c>
      <c r="Q10" s="716"/>
      <c r="R10" s="86"/>
      <c r="S10" s="86"/>
      <c r="T10" s="77"/>
      <c r="U10" s="65"/>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row>
    <row r="11" spans="1:101" s="50" customFormat="1" ht="30" customHeight="1">
      <c r="A11" s="47"/>
      <c r="B11" s="64"/>
      <c r="C11" s="76"/>
      <c r="D11" s="52"/>
      <c r="E11" s="89"/>
      <c r="F11" s="89"/>
      <c r="G11" s="89"/>
      <c r="H11" s="89"/>
      <c r="I11" s="731" t="str">
        <f>'W1'!D13&amp;" (W1,6)"</f>
        <v>Outflow of surface and groundwaters to neighbouring countries (W1,6)</v>
      </c>
      <c r="J11" s="732"/>
      <c r="K11" s="733"/>
      <c r="L11" s="89"/>
      <c r="M11" s="86"/>
      <c r="N11" s="86"/>
      <c r="O11" s="735"/>
      <c r="P11" s="717"/>
      <c r="Q11" s="718"/>
      <c r="R11" s="86"/>
      <c r="S11" s="86"/>
      <c r="T11" s="77"/>
      <c r="U11" s="65"/>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row>
    <row r="12" spans="1:101" ht="46.5" customHeight="1">
      <c r="A12" s="47"/>
      <c r="B12" s="64"/>
      <c r="C12" s="76"/>
      <c r="D12" s="87" t="str">
        <f>'W1'!D11&amp;" (W1,4)"</f>
        <v>Inflow of surface and groundwaters from neighbouring countries (W1,4)</v>
      </c>
      <c r="E12" s="86"/>
      <c r="F12" s="114" t="str">
        <f>LEFT('W1'!D12,LEN('W1'!D12)-7)&amp;" (W1,5)"</f>
        <v>Renewable freshwater resources (W1,5)</v>
      </c>
      <c r="G12" s="86"/>
      <c r="J12" s="86"/>
      <c r="K12" s="86"/>
      <c r="L12" s="86"/>
      <c r="M12" s="86"/>
      <c r="N12" s="86"/>
      <c r="O12" s="86"/>
      <c r="P12" s="86"/>
      <c r="Q12" s="54"/>
      <c r="R12" s="86"/>
      <c r="S12" s="86"/>
      <c r="T12" s="77"/>
      <c r="U12" s="65"/>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row>
    <row r="13" spans="1:101" ht="24.75" customHeight="1">
      <c r="A13" s="47"/>
      <c r="B13" s="64"/>
      <c r="C13" s="76"/>
      <c r="D13" s="52"/>
      <c r="E13" s="86"/>
      <c r="F13" s="86"/>
      <c r="G13" s="86"/>
      <c r="H13" s="86"/>
      <c r="I13" s="731" t="str">
        <f>'W1'!D16&amp;" (W1,9)"</f>
        <v>Outflow of surface and groundwaters to the sea (W1,9)</v>
      </c>
      <c r="J13" s="732"/>
      <c r="K13" s="733"/>
      <c r="L13" s="86"/>
      <c r="M13" s="86"/>
      <c r="N13" s="86"/>
      <c r="O13" s="86"/>
      <c r="P13" s="86"/>
      <c r="Q13" s="86"/>
      <c r="R13" s="86"/>
      <c r="S13" s="86"/>
      <c r="T13" s="77"/>
      <c r="U13" s="65"/>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row>
    <row r="14" spans="1:101" ht="9.75" customHeight="1">
      <c r="A14" s="47"/>
      <c r="B14" s="64"/>
      <c r="C14" s="76"/>
      <c r="D14" s="52"/>
      <c r="E14" s="86"/>
      <c r="F14" s="86"/>
      <c r="G14" s="86"/>
      <c r="H14" s="86"/>
      <c r="I14" s="86"/>
      <c r="J14" s="86"/>
      <c r="K14" s="86"/>
      <c r="L14" s="86"/>
      <c r="M14" s="86"/>
      <c r="N14" s="86"/>
      <c r="O14" s="86"/>
      <c r="P14" s="86"/>
      <c r="Q14" s="86"/>
      <c r="R14" s="86"/>
      <c r="S14" s="86"/>
      <c r="T14" s="77"/>
      <c r="U14" s="65"/>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row>
    <row r="15" spans="1:101" ht="12.75">
      <c r="A15" s="47"/>
      <c r="B15" s="64"/>
      <c r="C15" s="76"/>
      <c r="D15" s="725" t="str">
        <f>'W2'!D11</f>
        <v>of which abstracted by:</v>
      </c>
      <c r="E15" s="726"/>
      <c r="F15" s="726"/>
      <c r="G15" s="726"/>
      <c r="H15" s="726"/>
      <c r="I15" s="727"/>
      <c r="J15" s="86"/>
      <c r="K15" s="86"/>
      <c r="L15" s="86"/>
      <c r="M15" s="86"/>
      <c r="N15" s="86"/>
      <c r="O15" s="86"/>
      <c r="P15" s="86"/>
      <c r="Q15" s="86"/>
      <c r="R15" s="86"/>
      <c r="S15" s="86"/>
      <c r="T15" s="77"/>
      <c r="U15" s="65"/>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row>
    <row r="16" spans="1:101" ht="27.75" customHeight="1">
      <c r="A16" s="47"/>
      <c r="B16" s="64"/>
      <c r="C16" s="76"/>
      <c r="D16" s="86"/>
      <c r="E16" s="86"/>
      <c r="F16" s="86"/>
      <c r="G16" s="86"/>
      <c r="H16" s="86"/>
      <c r="I16" s="86"/>
      <c r="J16" s="86"/>
      <c r="K16" s="86"/>
      <c r="L16" s="86"/>
      <c r="M16" s="86"/>
      <c r="N16" s="86"/>
      <c r="O16" s="86"/>
      <c r="P16" s="86"/>
      <c r="Q16" s="86"/>
      <c r="R16" s="86"/>
      <c r="S16" s="86"/>
      <c r="T16" s="77"/>
      <c r="U16" s="65"/>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row>
    <row r="17" spans="1:101" s="51" customFormat="1" ht="86.25" customHeight="1">
      <c r="A17" s="47"/>
      <c r="B17" s="64"/>
      <c r="C17" s="76"/>
      <c r="D17" s="90" t="str">
        <f>LEFT('W2'!D12,LEN('W2'!D12)-8)&amp;"W2,4)"</f>
        <v>Water supply industry (W2,4)</v>
      </c>
      <c r="E17" s="90" t="str">
        <f>LEFT('W2'!D13,LEN('W2'!D13))&amp;"(W2,5)"</f>
        <v>Households (W2,5)</v>
      </c>
      <c r="F17" s="90" t="str">
        <f>LEFT('W2'!D14,LEN('W2'!D14))&amp;" (W2,6)"</f>
        <v>Agriculture, forestry and fishing (ISIC 01-03) (W2,6)</v>
      </c>
      <c r="G17" s="90" t="str">
        <f>LEFT('W2'!D15,LEN('W2'!D15))&amp;" (W2,7)"</f>
        <v>Manufacturing (ISIC 10-33) (W2,7)</v>
      </c>
      <c r="H17" s="90" t="str">
        <f>LEFT('W2'!D16,LEN('W2'!D16))&amp;" (W2,8)"</f>
        <v>Electricity industry (ISIC 351) (W2,8)</v>
      </c>
      <c r="I17" s="90" t="str">
        <f>LEFT('W2'!D17,LEN('W2'!D17))&amp;" (W2,9)"</f>
        <v>Other economic activities (W2,9)</v>
      </c>
      <c r="J17" s="52"/>
      <c r="K17" s="52"/>
      <c r="L17" s="52"/>
      <c r="M17" s="52"/>
      <c r="N17" s="52"/>
      <c r="O17" s="41"/>
      <c r="P17" s="52"/>
      <c r="Q17" s="86"/>
      <c r="R17" s="86"/>
      <c r="S17" s="86"/>
      <c r="T17" s="77"/>
      <c r="U17" s="65"/>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row>
    <row r="18" spans="1:101" s="50" customFormat="1" ht="13.5" customHeight="1">
      <c r="A18" s="47"/>
      <c r="B18" s="64"/>
      <c r="C18" s="76"/>
      <c r="D18" s="52"/>
      <c r="E18" s="89"/>
      <c r="F18" s="89"/>
      <c r="G18" s="89"/>
      <c r="H18" s="89"/>
      <c r="I18" s="89"/>
      <c r="J18" s="89"/>
      <c r="K18" s="89"/>
      <c r="L18" s="89"/>
      <c r="M18" s="89"/>
      <c r="N18" s="89"/>
      <c r="O18" s="89"/>
      <c r="P18" s="89"/>
      <c r="Q18" s="86"/>
      <c r="R18" s="86"/>
      <c r="S18" s="86"/>
      <c r="T18" s="77"/>
      <c r="U18" s="65"/>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row>
    <row r="19" spans="1:101" ht="45" customHeight="1">
      <c r="A19" s="47"/>
      <c r="B19" s="64"/>
      <c r="C19" s="76"/>
      <c r="D19" s="728" t="str">
        <f>LEFT('W2'!D10,LEN('W2'!D10)-7)&amp;" (W2,3)"</f>
        <v>Freshwater abstracted (W2,3)</v>
      </c>
      <c r="E19" s="729"/>
      <c r="F19" s="729"/>
      <c r="G19" s="729"/>
      <c r="H19" s="729"/>
      <c r="I19" s="730"/>
      <c r="J19" s="86"/>
      <c r="K19" s="86"/>
      <c r="L19" s="86"/>
      <c r="M19" s="41"/>
      <c r="N19" s="86"/>
      <c r="O19" s="86"/>
      <c r="P19" s="86"/>
      <c r="Q19" s="86"/>
      <c r="R19" s="86"/>
      <c r="S19" s="41"/>
      <c r="T19" s="78"/>
      <c r="U19" s="65"/>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row>
    <row r="20" spans="1:101" ht="10.5" customHeight="1">
      <c r="A20" s="47"/>
      <c r="B20" s="64"/>
      <c r="C20" s="76"/>
      <c r="D20" s="41"/>
      <c r="E20" s="41"/>
      <c r="F20" s="41"/>
      <c r="G20" s="41"/>
      <c r="H20" s="41"/>
      <c r="I20" s="41"/>
      <c r="J20" s="86"/>
      <c r="K20" s="86"/>
      <c r="L20" s="86"/>
      <c r="M20" s="41"/>
      <c r="N20" s="86"/>
      <c r="O20" s="86"/>
      <c r="P20" s="86"/>
      <c r="Q20" s="86"/>
      <c r="R20" s="86"/>
      <c r="S20" s="115"/>
      <c r="T20" s="78"/>
      <c r="U20" s="65"/>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row>
    <row r="21" spans="1:101" ht="45" customHeight="1">
      <c r="A21" s="47"/>
      <c r="B21" s="64"/>
      <c r="C21" s="76"/>
      <c r="D21" s="41"/>
      <c r="E21" s="41"/>
      <c r="F21" s="41"/>
      <c r="G21" s="41"/>
      <c r="H21" s="723" t="str">
        <f>'W2'!D18&amp;" (W2,10)"</f>
        <v>Desalinated water (W2,10)</v>
      </c>
      <c r="I21" s="724"/>
      <c r="K21" s="86"/>
      <c r="L21" s="86"/>
      <c r="M21" s="41"/>
      <c r="N21" s="86"/>
      <c r="O21" s="86"/>
      <c r="P21" s="86"/>
      <c r="Q21" s="86"/>
      <c r="R21" s="86"/>
      <c r="S21" s="90" t="str">
        <f>'W2'!D26&amp;" (W2,17)"</f>
        <v>    Households  (W2,17)</v>
      </c>
      <c r="T21" s="78"/>
      <c r="U21" s="65"/>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row>
    <row r="22" spans="1:101" ht="9.75" customHeight="1">
      <c r="A22" s="47"/>
      <c r="B22" s="64"/>
      <c r="C22" s="76"/>
      <c r="D22" s="52"/>
      <c r="E22" s="86"/>
      <c r="F22" s="86"/>
      <c r="G22" s="86"/>
      <c r="H22" s="86"/>
      <c r="I22" s="86"/>
      <c r="J22" s="86"/>
      <c r="K22" s="86"/>
      <c r="L22" s="86"/>
      <c r="M22" s="713" t="str">
        <f>LEFT('W2'!D22,LEN('W2'!D22)-17)&amp;" (W2,14)"</f>
        <v>Total freshwater available for use (W2,14)</v>
      </c>
      <c r="N22" s="86"/>
      <c r="O22" s="713" t="str">
        <f>LEFT('W2'!D24,LEN('W2'!D24)-9)&amp;" (W2,16)"</f>
        <v>Total freshwater use (W2,16)</v>
      </c>
      <c r="P22" s="86"/>
      <c r="Q22" s="86"/>
      <c r="R22" s="86"/>
      <c r="S22" s="86"/>
      <c r="T22" s="77"/>
      <c r="U22" s="65"/>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row>
    <row r="23" spans="1:101" ht="46.5" customHeight="1">
      <c r="A23" s="47"/>
      <c r="B23" s="64"/>
      <c r="C23" s="76"/>
      <c r="D23" s="52"/>
      <c r="E23" s="86"/>
      <c r="F23" s="86"/>
      <c r="G23" s="86"/>
      <c r="H23" s="723" t="str">
        <f>'W2'!D19&amp;" (W2,11)"</f>
        <v>Reused water (W2,11)</v>
      </c>
      <c r="I23" s="724"/>
      <c r="J23" s="86"/>
      <c r="K23" s="41"/>
      <c r="L23" s="86"/>
      <c r="M23" s="714"/>
      <c r="N23" s="86"/>
      <c r="O23" s="714"/>
      <c r="P23" s="711" t="str">
        <f>'W2'!D25</f>
        <v>of which used by:</v>
      </c>
      <c r="Q23" s="712"/>
      <c r="R23" s="116"/>
      <c r="S23" s="90" t="str">
        <f>'W2'!D27&amp;" (W2,18)"</f>
        <v>    Agriculture, forestry and fishing (ISIC 01-03) (W2,18)</v>
      </c>
      <c r="T23" s="77"/>
      <c r="U23" s="65"/>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row>
    <row r="24" spans="1:101" ht="8.25" customHeight="1">
      <c r="A24" s="47"/>
      <c r="B24" s="64"/>
      <c r="C24" s="76"/>
      <c r="D24" s="86"/>
      <c r="E24" s="86"/>
      <c r="F24" s="86"/>
      <c r="G24" s="86"/>
      <c r="H24" s="86"/>
      <c r="I24" s="86"/>
      <c r="J24" s="86"/>
      <c r="K24" s="86"/>
      <c r="L24" s="86"/>
      <c r="M24" s="86"/>
      <c r="N24" s="86"/>
      <c r="O24" s="86"/>
      <c r="P24" s="86"/>
      <c r="Q24" s="86"/>
      <c r="R24" s="86"/>
      <c r="S24" s="86"/>
      <c r="T24" s="77"/>
      <c r="U24" s="65"/>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row>
    <row r="25" spans="1:101" ht="41.25" customHeight="1">
      <c r="A25" s="47"/>
      <c r="B25" s="64"/>
      <c r="C25" s="76"/>
      <c r="G25" s="117"/>
      <c r="H25" s="723" t="str">
        <f>'W2'!D20&amp;" - "&amp;'W2'!D21&amp;" (= W2,12 - W2,13)"</f>
        <v>Imports of water - Exports of water (= W2,12 - W2,13)</v>
      </c>
      <c r="I25" s="724"/>
      <c r="J25" s="86"/>
      <c r="K25" s="86"/>
      <c r="L25" s="86"/>
      <c r="M25" s="41"/>
      <c r="N25" s="86"/>
      <c r="O25" s="86"/>
      <c r="P25" s="86"/>
      <c r="Q25" s="86"/>
      <c r="R25" s="86"/>
      <c r="S25" s="90" t="str">
        <f>'W2'!D29&amp;" (W2,20)"</f>
        <v>    Manufacturing (ISIC 10-33) (W2,20)</v>
      </c>
      <c r="T25" s="77"/>
      <c r="U25" s="65"/>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row>
    <row r="26" spans="1:101" ht="13.5" customHeight="1">
      <c r="A26" s="47"/>
      <c r="B26" s="64"/>
      <c r="C26" s="76"/>
      <c r="D26" s="91"/>
      <c r="G26" s="91"/>
      <c r="H26" s="86"/>
      <c r="I26" s="86"/>
      <c r="J26" s="86"/>
      <c r="K26" s="86"/>
      <c r="L26" s="86"/>
      <c r="M26" s="86"/>
      <c r="N26" s="709" t="str">
        <f>'W2'!D23&amp;" (W2,15)"</f>
        <v>Losses during transport (W2,15)</v>
      </c>
      <c r="O26" s="86"/>
      <c r="P26" s="86"/>
      <c r="Q26" s="86"/>
      <c r="R26" s="86"/>
      <c r="S26" s="86"/>
      <c r="T26" s="77"/>
      <c r="U26" s="65"/>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row>
    <row r="27" spans="1:101" ht="44.25" customHeight="1">
      <c r="A27" s="47"/>
      <c r="B27" s="64"/>
      <c r="C27" s="76"/>
      <c r="D27" s="86"/>
      <c r="E27" s="86"/>
      <c r="F27" s="86"/>
      <c r="G27" s="86"/>
      <c r="H27" s="86"/>
      <c r="I27" s="86"/>
      <c r="J27" s="86"/>
      <c r="K27" s="86"/>
      <c r="L27" s="86"/>
      <c r="M27" s="41"/>
      <c r="N27" s="710"/>
      <c r="P27" s="41"/>
      <c r="Q27" s="86"/>
      <c r="R27" s="86"/>
      <c r="S27" s="90" t="str">
        <f>'W2'!D30&amp;" (W2,21)"</f>
        <v>    Electricity industry (ISIC 351) (W2,21)</v>
      </c>
      <c r="T27" s="77"/>
      <c r="U27" s="65"/>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row>
    <row r="28" spans="1:101" ht="12.75">
      <c r="A28" s="47"/>
      <c r="B28" s="64"/>
      <c r="C28" s="76"/>
      <c r="D28" s="86"/>
      <c r="E28" s="86"/>
      <c r="F28" s="86"/>
      <c r="G28" s="86"/>
      <c r="H28" s="86"/>
      <c r="I28" s="86"/>
      <c r="J28" s="86"/>
      <c r="K28" s="86"/>
      <c r="L28" s="86"/>
      <c r="M28" s="86"/>
      <c r="N28" s="86"/>
      <c r="O28" s="86"/>
      <c r="P28" s="86"/>
      <c r="Q28" s="86"/>
      <c r="R28" s="86"/>
      <c r="S28" s="86"/>
      <c r="T28" s="77"/>
      <c r="U28" s="65"/>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row>
    <row r="29" spans="1:101" ht="33" customHeight="1">
      <c r="A29" s="47"/>
      <c r="B29" s="64"/>
      <c r="C29" s="76"/>
      <c r="D29" s="86"/>
      <c r="E29" s="86"/>
      <c r="F29" s="86"/>
      <c r="G29" s="86"/>
      <c r="H29" s="86"/>
      <c r="I29" s="86"/>
      <c r="J29" s="86"/>
      <c r="K29" s="86"/>
      <c r="L29" s="86"/>
      <c r="M29" s="86"/>
      <c r="N29" s="86"/>
      <c r="O29" s="86"/>
      <c r="P29" s="86"/>
      <c r="Q29" s="86"/>
      <c r="R29" s="86"/>
      <c r="S29" s="90" t="str">
        <f>'W2'!D31&amp;" (W2,22)"</f>
        <v>    Other economic activities (W2,22)</v>
      </c>
      <c r="T29" s="77"/>
      <c r="U29" s="65"/>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row>
    <row r="30" spans="1:101" ht="9" customHeight="1">
      <c r="A30" s="47"/>
      <c r="B30" s="64"/>
      <c r="C30" s="76"/>
      <c r="D30" s="45"/>
      <c r="E30" s="45"/>
      <c r="F30" s="45"/>
      <c r="G30" s="45"/>
      <c r="H30" s="45"/>
      <c r="I30" s="45"/>
      <c r="J30" s="45"/>
      <c r="K30" s="45"/>
      <c r="L30" s="45"/>
      <c r="M30" s="45"/>
      <c r="N30" s="45"/>
      <c r="O30" s="45"/>
      <c r="P30" s="45"/>
      <c r="Q30" s="45"/>
      <c r="R30" s="45"/>
      <c r="S30" s="45"/>
      <c r="T30" s="77"/>
      <c r="U30" s="65"/>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row>
    <row r="31" spans="1:101" ht="3.75" customHeight="1">
      <c r="A31" s="47"/>
      <c r="B31" s="64"/>
      <c r="C31" s="79"/>
      <c r="D31" s="80"/>
      <c r="E31" s="80"/>
      <c r="F31" s="80"/>
      <c r="G31" s="80"/>
      <c r="H31" s="80"/>
      <c r="I31" s="80"/>
      <c r="J31" s="80"/>
      <c r="K31" s="80"/>
      <c r="L31" s="80"/>
      <c r="M31" s="80"/>
      <c r="N31" s="80"/>
      <c r="O31" s="80"/>
      <c r="P31" s="80"/>
      <c r="Q31" s="80"/>
      <c r="R31" s="80"/>
      <c r="S31" s="80"/>
      <c r="T31" s="81"/>
      <c r="U31" s="65"/>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row>
    <row r="32" spans="1:101" ht="13.5" customHeight="1" thickBot="1">
      <c r="A32" s="47"/>
      <c r="B32" s="66"/>
      <c r="C32" s="70"/>
      <c r="D32" s="67"/>
      <c r="E32" s="67"/>
      <c r="F32" s="67"/>
      <c r="G32" s="67"/>
      <c r="H32" s="67"/>
      <c r="I32" s="67"/>
      <c r="J32" s="67"/>
      <c r="K32" s="67"/>
      <c r="L32" s="67"/>
      <c r="M32" s="67"/>
      <c r="N32" s="67"/>
      <c r="O32" s="67"/>
      <c r="P32" s="67"/>
      <c r="Q32" s="67"/>
      <c r="R32" s="67"/>
      <c r="S32" s="67"/>
      <c r="T32" s="67"/>
      <c r="U32" s="68"/>
      <c r="V32" s="45"/>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row>
    <row r="33" spans="1:122" ht="12.75">
      <c r="A33" s="47"/>
      <c r="B33" s="47"/>
      <c r="C33" s="47"/>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row>
    <row r="34" spans="1:122" ht="6" customHeight="1">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row>
    <row r="35" spans="1:122" ht="12.75">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row>
    <row r="36" spans="1:122" ht="4.5" customHeight="1">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row>
    <row r="37" spans="1:122" ht="12.75">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row>
    <row r="38" spans="1:122" ht="5.25" customHeight="1">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row>
    <row r="39" spans="1:122" ht="12.75">
      <c r="A39" s="47"/>
      <c r="B39" s="47"/>
      <c r="C39" s="47"/>
      <c r="D39" s="45"/>
      <c r="E39" s="45"/>
      <c r="F39" s="45"/>
      <c r="G39" s="45"/>
      <c r="H39" s="45"/>
      <c r="I39" s="45"/>
      <c r="J39" s="45"/>
      <c r="K39" s="45"/>
      <c r="L39" s="45"/>
      <c r="M39" s="45"/>
      <c r="N39" s="45"/>
      <c r="O39" s="45"/>
      <c r="P39" s="45"/>
      <c r="Q39" s="47"/>
      <c r="R39" s="47"/>
      <c r="S39" s="47"/>
      <c r="T39" s="47"/>
      <c r="U39" s="47"/>
      <c r="V39" s="45"/>
      <c r="W39" s="45"/>
      <c r="X39" s="45"/>
      <c r="Y39" s="45"/>
      <c r="Z39" s="45"/>
      <c r="AA39" s="45"/>
      <c r="AB39" s="45"/>
      <c r="AC39" s="45"/>
      <c r="AD39" s="45"/>
      <c r="AE39" s="45"/>
      <c r="AF39" s="45"/>
      <c r="AG39" s="45"/>
      <c r="AH39" s="45"/>
      <c r="AI39" s="45"/>
      <c r="AJ39" s="45"/>
      <c r="AK39" s="45"/>
      <c r="AL39" s="45"/>
      <c r="AM39" s="45"/>
      <c r="AN39" s="45"/>
      <c r="AO39" s="45"/>
      <c r="AP39" s="45"/>
      <c r="AQ39" s="45"/>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row>
    <row r="40" spans="1:122" ht="12.75">
      <c r="A40" s="47"/>
      <c r="B40" s="47"/>
      <c r="C40" s="47"/>
      <c r="D40" s="45"/>
      <c r="E40" s="45"/>
      <c r="F40" s="45"/>
      <c r="G40" s="45"/>
      <c r="H40" s="45"/>
      <c r="I40" s="45"/>
      <c r="J40" s="45"/>
      <c r="K40" s="45"/>
      <c r="L40" s="45"/>
      <c r="M40" s="45"/>
      <c r="N40" s="45"/>
      <c r="O40" s="45"/>
      <c r="P40" s="45"/>
      <c r="Q40" s="47"/>
      <c r="R40" s="47"/>
      <c r="S40" s="47"/>
      <c r="T40" s="47"/>
      <c r="U40" s="47"/>
      <c r="V40" s="45"/>
      <c r="W40" s="45"/>
      <c r="X40" s="45"/>
      <c r="Y40" s="45"/>
      <c r="Z40" s="45"/>
      <c r="AA40" s="45"/>
      <c r="AB40" s="45"/>
      <c r="AC40" s="45"/>
      <c r="AD40" s="45"/>
      <c r="AE40" s="45"/>
      <c r="AF40" s="45"/>
      <c r="AG40" s="45"/>
      <c r="AH40" s="45"/>
      <c r="AI40" s="45"/>
      <c r="AJ40" s="45"/>
      <c r="AK40" s="45"/>
      <c r="AL40" s="45"/>
      <c r="AM40" s="45"/>
      <c r="AN40" s="45"/>
      <c r="AO40" s="45"/>
      <c r="AP40" s="45"/>
      <c r="AQ40" s="45"/>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row>
    <row r="41" spans="1:122" ht="12.75">
      <c r="A41" s="47"/>
      <c r="B41" s="47"/>
      <c r="C41" s="47"/>
      <c r="D41" s="45"/>
      <c r="E41" s="45"/>
      <c r="F41" s="45"/>
      <c r="G41" s="45"/>
      <c r="H41" s="45"/>
      <c r="I41" s="45"/>
      <c r="J41" s="45"/>
      <c r="K41" s="45"/>
      <c r="L41" s="45"/>
      <c r="M41" s="45"/>
      <c r="N41" s="45"/>
      <c r="O41" s="45"/>
      <c r="P41" s="45"/>
      <c r="Q41" s="47"/>
      <c r="R41" s="47"/>
      <c r="S41" s="47"/>
      <c r="T41" s="47"/>
      <c r="U41" s="47"/>
      <c r="V41" s="45"/>
      <c r="W41" s="45"/>
      <c r="X41" s="45"/>
      <c r="Y41" s="45"/>
      <c r="Z41" s="45"/>
      <c r="AA41" s="45"/>
      <c r="AB41" s="45"/>
      <c r="AC41" s="45"/>
      <c r="AD41" s="45"/>
      <c r="AE41" s="45"/>
      <c r="AF41" s="45"/>
      <c r="AG41" s="45"/>
      <c r="AH41" s="45"/>
      <c r="AI41" s="45"/>
      <c r="AJ41" s="45"/>
      <c r="AK41" s="45"/>
      <c r="AL41" s="45"/>
      <c r="AM41" s="45"/>
      <c r="AN41" s="45"/>
      <c r="AO41" s="45"/>
      <c r="AP41" s="45"/>
      <c r="AQ41" s="45"/>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row>
    <row r="42" spans="1:122" ht="12.75">
      <c r="A42" s="47"/>
      <c r="B42" s="47"/>
      <c r="C42" s="47"/>
      <c r="D42" s="47"/>
      <c r="E42" s="47"/>
      <c r="F42" s="47"/>
      <c r="G42" s="47"/>
      <c r="H42" s="47"/>
      <c r="I42" s="47"/>
      <c r="J42" s="47"/>
      <c r="K42" s="47"/>
      <c r="L42" s="47"/>
      <c r="M42" s="47"/>
      <c r="N42" s="47"/>
      <c r="O42" s="47"/>
      <c r="P42" s="47"/>
      <c r="Q42" s="47"/>
      <c r="R42" s="47"/>
      <c r="S42" s="47"/>
      <c r="T42" s="47"/>
      <c r="U42" s="47"/>
      <c r="V42" s="45"/>
      <c r="W42" s="45"/>
      <c r="X42" s="45"/>
      <c r="Y42" s="45"/>
      <c r="Z42" s="45"/>
      <c r="AA42" s="45"/>
      <c r="AB42" s="45"/>
      <c r="AC42" s="45"/>
      <c r="AD42" s="45"/>
      <c r="AE42" s="45"/>
      <c r="AF42" s="45"/>
      <c r="AG42" s="45"/>
      <c r="AH42" s="45"/>
      <c r="AI42" s="45"/>
      <c r="AJ42" s="45"/>
      <c r="AK42" s="45"/>
      <c r="AL42" s="45"/>
      <c r="AM42" s="45"/>
      <c r="AN42" s="45"/>
      <c r="AO42" s="45"/>
      <c r="AP42" s="45"/>
      <c r="AQ42" s="45"/>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row>
    <row r="43" spans="1:122" ht="12.75">
      <c r="A43" s="47"/>
      <c r="B43" s="47"/>
      <c r="C43" s="47"/>
      <c r="D43" s="47"/>
      <c r="E43" s="47"/>
      <c r="F43" s="47"/>
      <c r="G43" s="47"/>
      <c r="H43" s="47"/>
      <c r="I43" s="47"/>
      <c r="J43" s="47"/>
      <c r="K43" s="47"/>
      <c r="L43" s="47"/>
      <c r="M43" s="47"/>
      <c r="N43" s="47"/>
      <c r="O43" s="47"/>
      <c r="P43" s="47"/>
      <c r="Q43" s="47"/>
      <c r="R43" s="47"/>
      <c r="S43" s="47"/>
      <c r="T43" s="47"/>
      <c r="U43" s="47"/>
      <c r="V43" s="45"/>
      <c r="W43" s="45"/>
      <c r="X43" s="45"/>
      <c r="Y43" s="45"/>
      <c r="Z43" s="45"/>
      <c r="AA43" s="45"/>
      <c r="AB43" s="45"/>
      <c r="AC43" s="45"/>
      <c r="AD43" s="45"/>
      <c r="AE43" s="45"/>
      <c r="AF43" s="45"/>
      <c r="AG43" s="45"/>
      <c r="AH43" s="45"/>
      <c r="AI43" s="45"/>
      <c r="AJ43" s="45"/>
      <c r="AK43" s="45"/>
      <c r="AL43" s="45"/>
      <c r="AM43" s="45"/>
      <c r="AN43" s="45"/>
      <c r="AO43" s="45"/>
      <c r="AP43" s="45"/>
      <c r="AQ43" s="45"/>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row>
    <row r="44" spans="1:122" ht="12.75">
      <c r="A44" s="47"/>
      <c r="B44" s="47"/>
      <c r="C44" s="47"/>
      <c r="D44" s="47"/>
      <c r="E44" s="47"/>
      <c r="F44" s="47"/>
      <c r="G44" s="47"/>
      <c r="H44" s="47"/>
      <c r="I44" s="47"/>
      <c r="J44" s="47"/>
      <c r="K44" s="47"/>
      <c r="L44" s="47"/>
      <c r="M44" s="47"/>
      <c r="N44" s="47"/>
      <c r="O44" s="47"/>
      <c r="P44" s="47"/>
      <c r="Q44" s="47"/>
      <c r="R44" s="47"/>
      <c r="S44" s="47"/>
      <c r="T44" s="47"/>
      <c r="U44" s="47"/>
      <c r="V44" s="45"/>
      <c r="W44" s="45"/>
      <c r="X44" s="45"/>
      <c r="Y44" s="45"/>
      <c r="Z44" s="45"/>
      <c r="AA44" s="45"/>
      <c r="AB44" s="45"/>
      <c r="AC44" s="45"/>
      <c r="AD44" s="45"/>
      <c r="AE44" s="45"/>
      <c r="AF44" s="45"/>
      <c r="AG44" s="45"/>
      <c r="AH44" s="45"/>
      <c r="AI44" s="45"/>
      <c r="AJ44" s="45"/>
      <c r="AK44" s="45"/>
      <c r="AL44" s="45"/>
      <c r="AM44" s="45"/>
      <c r="AN44" s="45"/>
      <c r="AO44" s="45"/>
      <c r="AP44" s="45"/>
      <c r="AQ44" s="45"/>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row>
    <row r="45" spans="1:122" ht="12.75">
      <c r="A45" s="47"/>
      <c r="B45" s="47"/>
      <c r="C45" s="47"/>
      <c r="D45" s="47"/>
      <c r="E45" s="47"/>
      <c r="F45" s="47"/>
      <c r="G45" s="47"/>
      <c r="H45" s="47"/>
      <c r="I45" s="47"/>
      <c r="J45" s="47"/>
      <c r="K45" s="47"/>
      <c r="L45" s="47"/>
      <c r="M45" s="47"/>
      <c r="N45" s="47"/>
      <c r="O45" s="47"/>
      <c r="P45" s="47"/>
      <c r="Q45" s="47"/>
      <c r="R45" s="47"/>
      <c r="S45" s="47"/>
      <c r="T45" s="47"/>
      <c r="U45" s="47"/>
      <c r="V45" s="45"/>
      <c r="W45" s="45"/>
      <c r="X45" s="45"/>
      <c r="Y45" s="45"/>
      <c r="Z45" s="45"/>
      <c r="AA45" s="45"/>
      <c r="AB45" s="45"/>
      <c r="AC45" s="45"/>
      <c r="AD45" s="45"/>
      <c r="AE45" s="45"/>
      <c r="AF45" s="45"/>
      <c r="AG45" s="45"/>
      <c r="AH45" s="45"/>
      <c r="AI45" s="45"/>
      <c r="AJ45" s="45"/>
      <c r="AK45" s="45"/>
      <c r="AL45" s="45"/>
      <c r="AM45" s="45"/>
      <c r="AN45" s="45"/>
      <c r="AO45" s="45"/>
      <c r="AP45" s="45"/>
      <c r="AQ45" s="45"/>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row>
    <row r="46" spans="1:122" ht="12.75">
      <c r="A46" s="47"/>
      <c r="B46" s="47"/>
      <c r="C46" s="47"/>
      <c r="D46" s="47"/>
      <c r="E46" s="47"/>
      <c r="F46" s="47"/>
      <c r="G46" s="47"/>
      <c r="H46" s="47"/>
      <c r="I46" s="47"/>
      <c r="J46" s="47"/>
      <c r="K46" s="47"/>
      <c r="L46" s="47"/>
      <c r="M46" s="47"/>
      <c r="N46" s="47"/>
      <c r="O46" s="47"/>
      <c r="P46" s="47"/>
      <c r="Q46" s="47"/>
      <c r="R46" s="47"/>
      <c r="S46" s="47"/>
      <c r="T46" s="47"/>
      <c r="U46" s="47"/>
      <c r="V46" s="45"/>
      <c r="W46" s="45"/>
      <c r="X46" s="45"/>
      <c r="Y46" s="45"/>
      <c r="Z46" s="45"/>
      <c r="AA46" s="45"/>
      <c r="AB46" s="45"/>
      <c r="AC46" s="45"/>
      <c r="AD46" s="45"/>
      <c r="AE46" s="45"/>
      <c r="AF46" s="45"/>
      <c r="AG46" s="45"/>
      <c r="AH46" s="45"/>
      <c r="AI46" s="45"/>
      <c r="AJ46" s="45"/>
      <c r="AK46" s="45"/>
      <c r="AL46" s="45"/>
      <c r="AM46" s="45"/>
      <c r="AN46" s="45"/>
      <c r="AO46" s="45"/>
      <c r="AP46" s="45"/>
      <c r="AQ46" s="45"/>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row>
    <row r="47" spans="1:122" ht="12.75">
      <c r="A47" s="47"/>
      <c r="B47" s="47"/>
      <c r="C47" s="47"/>
      <c r="D47" s="47"/>
      <c r="E47" s="47"/>
      <c r="F47" s="47"/>
      <c r="G47" s="47"/>
      <c r="H47" s="47"/>
      <c r="I47" s="47"/>
      <c r="J47" s="47"/>
      <c r="K47" s="47"/>
      <c r="L47" s="47"/>
      <c r="M47" s="47"/>
      <c r="N47" s="47"/>
      <c r="O47" s="47"/>
      <c r="P47" s="47"/>
      <c r="Q47" s="47"/>
      <c r="R47" s="47"/>
      <c r="S47" s="47"/>
      <c r="T47" s="47"/>
      <c r="U47" s="47"/>
      <c r="V47" s="47"/>
      <c r="W47" s="45"/>
      <c r="X47" s="45"/>
      <c r="Y47" s="45"/>
      <c r="Z47" s="45"/>
      <c r="AA47" s="45"/>
      <c r="AB47" s="45"/>
      <c r="AC47" s="45"/>
      <c r="AD47" s="45"/>
      <c r="AE47" s="45"/>
      <c r="AF47" s="45"/>
      <c r="AG47" s="45"/>
      <c r="AH47" s="45"/>
      <c r="AI47" s="45"/>
      <c r="AJ47" s="45"/>
      <c r="AK47" s="45"/>
      <c r="AL47" s="45"/>
      <c r="AM47" s="45"/>
      <c r="AN47" s="45"/>
      <c r="AO47" s="45"/>
      <c r="AP47" s="45"/>
      <c r="AQ47" s="45"/>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row>
    <row r="48" spans="1:122"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row>
    <row r="49" spans="1:122"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row>
    <row r="50" spans="1:122"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row>
    <row r="51" spans="1:122"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row>
    <row r="52" spans="1:122"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row>
    <row r="53" spans="1:122"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row>
    <row r="54" spans="1:122"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row>
    <row r="55" spans="1:122"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row>
    <row r="56" spans="1:122"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row>
    <row r="57" spans="1:122"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row>
    <row r="58" spans="1:122"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row>
    <row r="59" spans="1:122"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row>
    <row r="60" spans="1:122"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row>
    <row r="61" spans="1:122"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row>
    <row r="62" spans="1:122"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row>
    <row r="63" spans="1:122"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row>
    <row r="64" spans="1:122"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row>
    <row r="65" spans="1:122"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row>
    <row r="66" spans="1:43" ht="12.75">
      <c r="A66" s="47"/>
      <c r="B66" s="47"/>
      <c r="C66" s="47"/>
      <c r="D66" s="47"/>
      <c r="E66" s="47"/>
      <c r="F66" s="47"/>
      <c r="G66" s="47"/>
      <c r="H66" s="47"/>
      <c r="I66" s="47"/>
      <c r="J66" s="47"/>
      <c r="K66" s="47"/>
      <c r="L66" s="47"/>
      <c r="M66" s="47"/>
      <c r="N66" s="47"/>
      <c r="O66" s="47"/>
      <c r="P66" s="47"/>
      <c r="Q66" s="47"/>
      <c r="R66" s="47"/>
      <c r="S66" s="47"/>
      <c r="T66" s="47"/>
      <c r="U66" s="47"/>
      <c r="W66" s="47"/>
      <c r="X66" s="47"/>
      <c r="Y66" s="47"/>
      <c r="Z66" s="47"/>
      <c r="AA66" s="47"/>
      <c r="AB66" s="47"/>
      <c r="AC66" s="47"/>
      <c r="AD66" s="47"/>
      <c r="AE66" s="47"/>
      <c r="AF66" s="47"/>
      <c r="AG66" s="47"/>
      <c r="AH66" s="47"/>
      <c r="AI66" s="47"/>
      <c r="AJ66" s="47"/>
      <c r="AK66" s="47"/>
      <c r="AL66" s="47"/>
      <c r="AM66" s="47"/>
      <c r="AN66" s="47"/>
      <c r="AO66" s="47"/>
      <c r="AP66" s="47"/>
      <c r="AQ66" s="47"/>
    </row>
  </sheetData>
  <sheetProtection sheet="1"/>
  <mergeCells count="16">
    <mergeCell ref="H21:I21"/>
    <mergeCell ref="D15:I15"/>
    <mergeCell ref="D19:I19"/>
    <mergeCell ref="I11:K11"/>
    <mergeCell ref="I13:K13"/>
    <mergeCell ref="O10:O11"/>
    <mergeCell ref="N26:N27"/>
    <mergeCell ref="P23:Q23"/>
    <mergeCell ref="M22:M23"/>
    <mergeCell ref="O22:O23"/>
    <mergeCell ref="P10:Q11"/>
    <mergeCell ref="D2:U2"/>
    <mergeCell ref="D3:U3"/>
    <mergeCell ref="F10:G10"/>
    <mergeCell ref="H23:I23"/>
    <mergeCell ref="H25:I25"/>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1" max="46" man="1"/>
  </colBreaks>
  <drawing r:id="rId1"/>
</worksheet>
</file>

<file path=xl/worksheets/sheet5.xml><?xml version="1.0" encoding="utf-8"?>
<worksheet xmlns="http://schemas.openxmlformats.org/spreadsheetml/2006/main" xmlns:r="http://schemas.openxmlformats.org/officeDocument/2006/relationships">
  <dimension ref="A1:DC183"/>
  <sheetViews>
    <sheetView showGridLines="0" tabSelected="1" zoomScale="85" zoomScaleNormal="85" zoomScaleSheetLayoutView="85" zoomScalePageLayoutView="0" workbookViewId="0" topLeftCell="C1">
      <selection activeCell="F8" sqref="F8"/>
    </sheetView>
  </sheetViews>
  <sheetFormatPr defaultColWidth="9.33203125" defaultRowHeight="12.75"/>
  <cols>
    <col min="1" max="1" width="6" style="189" hidden="1" customWidth="1"/>
    <col min="2" max="2" width="4.16015625" style="190" hidden="1" customWidth="1"/>
    <col min="3" max="3" width="10.33203125" style="202" customWidth="1"/>
    <col min="4" max="4" width="34.83203125" style="227" customWidth="1"/>
    <col min="5" max="5" width="10.16015625" style="282" customWidth="1"/>
    <col min="6" max="6" width="10.5" style="202" customWidth="1"/>
    <col min="7" max="7" width="1.83203125" style="230" customWidth="1"/>
    <col min="8" max="8" width="7" style="231" customWidth="1"/>
    <col min="9" max="9" width="1.83203125" style="232"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hidden="1" customWidth="1"/>
    <col min="27" max="27" width="1.83203125" style="230" hidden="1"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31" customWidth="1"/>
    <col min="47" max="47" width="1.83203125" style="202" customWidth="1"/>
    <col min="48" max="48" width="7" style="202" customWidth="1"/>
    <col min="49" max="49" width="1.83203125" style="202" customWidth="1"/>
    <col min="50" max="50" width="7" style="202" customWidth="1"/>
    <col min="51" max="51" width="1.83203125" style="202" customWidth="1"/>
    <col min="52" max="52" width="1.5" style="202" customWidth="1"/>
    <col min="53" max="53" width="1.3359375" style="200" customWidth="1"/>
    <col min="54" max="54" width="5.5" style="200" customWidth="1"/>
    <col min="55" max="55" width="24.16015625" style="200" customWidth="1"/>
    <col min="56" max="56" width="8" style="200" customWidth="1"/>
    <col min="57" max="57" width="9.5" style="200" customWidth="1"/>
    <col min="58" max="58" width="5" style="200" customWidth="1"/>
    <col min="59" max="59" width="5.5" style="200" customWidth="1"/>
    <col min="60" max="60" width="1.0078125" style="200" customWidth="1"/>
    <col min="61" max="61" width="5.66015625" style="200" customWidth="1"/>
    <col min="62" max="62" width="1.0078125" style="200" customWidth="1"/>
    <col min="63" max="63" width="5" style="200" customWidth="1"/>
    <col min="64" max="64" width="1.0078125" style="200" customWidth="1"/>
    <col min="65" max="65" width="5" style="200" customWidth="1"/>
    <col min="66" max="66" width="1.0078125" style="200" customWidth="1"/>
    <col min="67" max="67" width="5" style="200" customWidth="1"/>
    <col min="68" max="68" width="1.0078125" style="200" customWidth="1"/>
    <col min="69" max="69" width="5" style="200" customWidth="1"/>
    <col min="70" max="70" width="1.0078125" style="200" customWidth="1"/>
    <col min="71" max="71" width="5" style="200" customWidth="1"/>
    <col min="72" max="72" width="1.0078125" style="200" customWidth="1"/>
    <col min="73" max="73" width="5" style="200" customWidth="1"/>
    <col min="74" max="74" width="1.0078125" style="200" customWidth="1"/>
    <col min="75" max="75" width="5" style="200" customWidth="1"/>
    <col min="76" max="76" width="1.0078125" style="200" customWidth="1"/>
    <col min="77" max="77" width="5" style="200" customWidth="1"/>
    <col min="78" max="78" width="1.0078125" style="200" customWidth="1"/>
    <col min="79" max="79" width="5" style="200" customWidth="1"/>
    <col min="80" max="80" width="1.0078125" style="200" customWidth="1"/>
    <col min="81" max="81" width="5" style="200" customWidth="1"/>
    <col min="82" max="82" width="1.0078125" style="200" customWidth="1"/>
    <col min="83" max="83" width="5" style="200" customWidth="1"/>
    <col min="84" max="84" width="1.0078125" style="200" customWidth="1"/>
    <col min="85" max="85" width="5" style="200" customWidth="1"/>
    <col min="86" max="86" width="1.0078125" style="200" customWidth="1"/>
    <col min="87" max="87" width="5" style="200" customWidth="1"/>
    <col min="88" max="88" width="1.0078125" style="200" customWidth="1"/>
    <col min="89" max="89" width="5" style="200" customWidth="1"/>
    <col min="90" max="90" width="1.0078125" style="200" customWidth="1"/>
    <col min="91" max="91" width="5.16015625" style="200" customWidth="1"/>
    <col min="92" max="92" width="1.0078125" style="200" customWidth="1"/>
    <col min="93" max="93" width="5.16015625" style="200" customWidth="1"/>
    <col min="94" max="94" width="1.0078125" style="200" customWidth="1"/>
    <col min="95" max="95" width="5.16015625" style="200" customWidth="1"/>
    <col min="96" max="96" width="1.0078125" style="200" customWidth="1"/>
    <col min="97" max="97" width="5.16015625" style="200" customWidth="1"/>
    <col min="98" max="98" width="1.0078125" style="200" customWidth="1"/>
    <col min="99" max="99" width="5.16015625" style="200" customWidth="1"/>
    <col min="100" max="100" width="3.5" style="202" customWidth="1"/>
    <col min="101" max="101" width="17.33203125" style="200" bestFit="1" customWidth="1"/>
    <col min="102" max="102" width="16.33203125" style="200" bestFit="1" customWidth="1"/>
    <col min="103" max="103" width="15.83203125" style="200" bestFit="1" customWidth="1"/>
    <col min="104" max="104" width="16.33203125" style="200" bestFit="1" customWidth="1"/>
    <col min="105" max="16384" width="9.33203125" style="202" customWidth="1"/>
  </cols>
  <sheetData>
    <row r="1" spans="2:54" ht="15.75" customHeight="1">
      <c r="B1" s="190">
        <v>0</v>
      </c>
      <c r="C1" s="191" t="s">
        <v>355</v>
      </c>
      <c r="D1" s="192"/>
      <c r="E1" s="193"/>
      <c r="F1" s="194"/>
      <c r="G1" s="195"/>
      <c r="H1" s="196"/>
      <c r="I1" s="197"/>
      <c r="J1" s="196"/>
      <c r="K1" s="197"/>
      <c r="L1" s="196"/>
      <c r="M1" s="197"/>
      <c r="N1" s="196"/>
      <c r="O1" s="197"/>
      <c r="P1" s="196"/>
      <c r="Q1" s="197"/>
      <c r="R1" s="196"/>
      <c r="S1" s="197"/>
      <c r="T1" s="196"/>
      <c r="U1" s="197"/>
      <c r="V1" s="196"/>
      <c r="W1" s="195"/>
      <c r="X1" s="196"/>
      <c r="Y1" s="195"/>
      <c r="Z1" s="196"/>
      <c r="AA1" s="195"/>
      <c r="AB1" s="196"/>
      <c r="AC1" s="195"/>
      <c r="AD1" s="196"/>
      <c r="AE1" s="195"/>
      <c r="AF1" s="196"/>
      <c r="AG1" s="195"/>
      <c r="AH1" s="196"/>
      <c r="AI1" s="197"/>
      <c r="AJ1" s="196"/>
      <c r="AK1" s="195"/>
      <c r="AL1" s="196"/>
      <c r="AM1" s="195"/>
      <c r="AN1" s="196"/>
      <c r="AO1" s="195"/>
      <c r="AP1" s="195"/>
      <c r="AQ1" s="195"/>
      <c r="AR1" s="195"/>
      <c r="AS1" s="195"/>
      <c r="AT1" s="196"/>
      <c r="AU1" s="198"/>
      <c r="AV1" s="199"/>
      <c r="AW1" s="199"/>
      <c r="AX1" s="199"/>
      <c r="AY1" s="199"/>
      <c r="AZ1" s="199"/>
      <c r="BB1" s="201" t="s">
        <v>96</v>
      </c>
    </row>
    <row r="2" spans="3:52" ht="6.75" customHeight="1">
      <c r="C2" s="203"/>
      <c r="D2" s="204"/>
      <c r="E2" s="205"/>
      <c r="F2" s="206"/>
      <c r="G2" s="207"/>
      <c r="H2" s="208"/>
      <c r="I2" s="209"/>
      <c r="J2" s="208"/>
      <c r="K2" s="209"/>
      <c r="L2" s="208"/>
      <c r="M2" s="209"/>
      <c r="N2" s="208"/>
      <c r="O2" s="209"/>
      <c r="P2" s="208"/>
      <c r="Q2" s="209"/>
      <c r="R2" s="208"/>
      <c r="S2" s="209"/>
      <c r="T2" s="208"/>
      <c r="U2" s="209"/>
      <c r="V2" s="208"/>
      <c r="W2" s="207"/>
      <c r="X2" s="208"/>
      <c r="Y2" s="207"/>
      <c r="Z2" s="208"/>
      <c r="AA2" s="207"/>
      <c r="AB2" s="208"/>
      <c r="AC2" s="207"/>
      <c r="AD2" s="208"/>
      <c r="AE2" s="207"/>
      <c r="AF2" s="208"/>
      <c r="AG2" s="207"/>
      <c r="AH2" s="208"/>
      <c r="AI2" s="209"/>
      <c r="AJ2" s="208"/>
      <c r="AK2" s="207"/>
      <c r="AL2" s="208"/>
      <c r="AM2" s="207"/>
      <c r="AN2" s="208"/>
      <c r="AO2" s="207"/>
      <c r="AP2" s="207"/>
      <c r="AQ2" s="207"/>
      <c r="AR2" s="207"/>
      <c r="AS2" s="207"/>
      <c r="AT2" s="208"/>
      <c r="AU2" s="210"/>
      <c r="AV2" s="211"/>
      <c r="AW2" s="211"/>
      <c r="AX2" s="211"/>
      <c r="AY2" s="211"/>
      <c r="AZ2" s="211"/>
    </row>
    <row r="3" spans="2:54" ht="16.5" customHeight="1">
      <c r="B3" s="190">
        <v>508</v>
      </c>
      <c r="C3" s="212" t="s">
        <v>358</v>
      </c>
      <c r="D3" s="609" t="s">
        <v>483</v>
      </c>
      <c r="E3" s="336"/>
      <c r="F3" s="337"/>
      <c r="G3" s="333"/>
      <c r="H3" s="332"/>
      <c r="I3" s="338"/>
      <c r="J3" s="332"/>
      <c r="K3" s="338"/>
      <c r="L3" s="332"/>
      <c r="M3" s="338"/>
      <c r="N3" s="332"/>
      <c r="O3" s="338"/>
      <c r="P3" s="332"/>
      <c r="Q3" s="338"/>
      <c r="R3" s="332"/>
      <c r="S3" s="338"/>
      <c r="T3" s="332"/>
      <c r="U3" s="338"/>
      <c r="V3" s="332"/>
      <c r="W3" s="333"/>
      <c r="X3" s="332"/>
      <c r="Y3" s="333"/>
      <c r="Z3" s="216"/>
      <c r="AA3" s="217"/>
      <c r="AB3" s="216"/>
      <c r="AC3" s="217"/>
      <c r="AD3" s="216"/>
      <c r="AE3" s="212" t="s">
        <v>350</v>
      </c>
      <c r="AF3" s="214"/>
      <c r="AG3" s="213"/>
      <c r="AH3" s="214"/>
      <c r="AI3" s="215"/>
      <c r="AJ3" s="332"/>
      <c r="AK3" s="333"/>
      <c r="AL3" s="332"/>
      <c r="AM3" s="333"/>
      <c r="AN3" s="332"/>
      <c r="AO3" s="333"/>
      <c r="AP3" s="333"/>
      <c r="AQ3" s="333"/>
      <c r="AR3" s="333"/>
      <c r="AS3" s="333"/>
      <c r="AT3" s="332"/>
      <c r="AU3" s="334"/>
      <c r="AV3" s="335"/>
      <c r="AW3" s="335"/>
      <c r="AX3" s="335"/>
      <c r="AY3" s="335"/>
      <c r="AZ3" s="335"/>
      <c r="BB3" s="219" t="s">
        <v>60</v>
      </c>
    </row>
    <row r="4" spans="3:54" ht="2.25" customHeight="1">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739"/>
      <c r="BB4" s="220"/>
    </row>
    <row r="5" spans="1:104" s="226" customFormat="1" ht="17.25" customHeight="1">
      <c r="A5" s="221"/>
      <c r="B5" s="190">
        <v>1</v>
      </c>
      <c r="C5" s="756" t="s">
        <v>503</v>
      </c>
      <c r="D5" s="756"/>
      <c r="E5" s="757"/>
      <c r="F5" s="757"/>
      <c r="G5" s="757"/>
      <c r="H5" s="758"/>
      <c r="I5" s="758"/>
      <c r="J5" s="758"/>
      <c r="K5" s="758"/>
      <c r="L5" s="758"/>
      <c r="M5" s="758"/>
      <c r="N5" s="758"/>
      <c r="O5" s="758"/>
      <c r="P5" s="758"/>
      <c r="Q5" s="758"/>
      <c r="R5" s="758"/>
      <c r="S5" s="758"/>
      <c r="T5" s="758"/>
      <c r="U5" s="758"/>
      <c r="V5" s="758"/>
      <c r="W5" s="757"/>
      <c r="X5" s="758"/>
      <c r="Y5" s="757"/>
      <c r="Z5" s="758"/>
      <c r="AA5" s="757"/>
      <c r="AB5" s="758"/>
      <c r="AC5" s="757"/>
      <c r="AD5" s="758"/>
      <c r="AE5" s="757"/>
      <c r="AF5" s="758"/>
      <c r="AG5" s="757"/>
      <c r="AH5" s="758"/>
      <c r="AI5" s="758"/>
      <c r="AJ5" s="758"/>
      <c r="AK5" s="757"/>
      <c r="AL5" s="758"/>
      <c r="AM5" s="757"/>
      <c r="AN5" s="758"/>
      <c r="AO5" s="757"/>
      <c r="AP5" s="757"/>
      <c r="AQ5" s="757"/>
      <c r="AR5" s="757"/>
      <c r="AS5" s="757"/>
      <c r="AT5" s="758"/>
      <c r="AU5" s="222"/>
      <c r="AV5" s="223"/>
      <c r="AW5" s="223"/>
      <c r="AX5" s="223"/>
      <c r="AY5" s="223"/>
      <c r="AZ5" s="223"/>
      <c r="BA5" s="224"/>
      <c r="BB5" s="225"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W5" s="755"/>
      <c r="CX5" s="755"/>
      <c r="CY5" s="755"/>
      <c r="CZ5" s="755"/>
    </row>
    <row r="6" spans="5:106" ht="15.75" customHeight="1">
      <c r="E6" s="228"/>
      <c r="F6" s="229"/>
      <c r="Z6" s="233"/>
      <c r="AB6" s="736" t="s">
        <v>150</v>
      </c>
      <c r="AC6" s="737"/>
      <c r="AD6" s="737"/>
      <c r="AE6" s="737"/>
      <c r="AF6" s="737"/>
      <c r="AG6" s="737"/>
      <c r="AH6" s="737"/>
      <c r="AI6" s="737"/>
      <c r="AJ6" s="737"/>
      <c r="AK6" s="738"/>
      <c r="AL6" s="738"/>
      <c r="AM6" s="738"/>
      <c r="AN6" s="738"/>
      <c r="AO6" s="235"/>
      <c r="AP6" s="235"/>
      <c r="AQ6" s="235"/>
      <c r="AR6" s="235"/>
      <c r="AS6" s="235"/>
      <c r="AT6" s="235"/>
      <c r="AU6" s="235"/>
      <c r="AV6" s="235"/>
      <c r="AW6" s="235"/>
      <c r="AX6" s="235"/>
      <c r="AY6" s="236" t="s">
        <v>570</v>
      </c>
      <c r="AZ6" s="237"/>
      <c r="BB6" s="238" t="s">
        <v>87</v>
      </c>
      <c r="CW6" s="239" t="s">
        <v>381</v>
      </c>
      <c r="CX6" s="239" t="s">
        <v>382</v>
      </c>
      <c r="CY6" s="239" t="s">
        <v>383</v>
      </c>
      <c r="CZ6" s="239" t="s">
        <v>562</v>
      </c>
      <c r="DA6" s="239" t="s">
        <v>384</v>
      </c>
      <c r="DB6" s="239" t="s">
        <v>385</v>
      </c>
    </row>
    <row r="7" spans="1:106" s="245" customFormat="1" ht="42.75" customHeight="1">
      <c r="A7" s="240"/>
      <c r="B7" s="241">
        <v>2</v>
      </c>
      <c r="C7" s="242" t="s">
        <v>347</v>
      </c>
      <c r="D7" s="242" t="s">
        <v>349</v>
      </c>
      <c r="E7" s="243" t="s">
        <v>352</v>
      </c>
      <c r="F7" s="242" t="s">
        <v>376</v>
      </c>
      <c r="G7" s="244"/>
      <c r="H7" s="243">
        <v>1990</v>
      </c>
      <c r="I7" s="244"/>
      <c r="J7" s="243">
        <v>1995</v>
      </c>
      <c r="K7" s="244"/>
      <c r="L7" s="243">
        <v>1996</v>
      </c>
      <c r="M7" s="244"/>
      <c r="N7" s="243">
        <v>1997</v>
      </c>
      <c r="O7" s="244"/>
      <c r="P7" s="243">
        <v>1998</v>
      </c>
      <c r="Q7" s="244"/>
      <c r="R7" s="243">
        <v>1999</v>
      </c>
      <c r="S7" s="244"/>
      <c r="T7" s="243">
        <v>2000</v>
      </c>
      <c r="U7" s="244"/>
      <c r="V7" s="243">
        <v>2001</v>
      </c>
      <c r="W7" s="244"/>
      <c r="X7" s="243">
        <v>2002</v>
      </c>
      <c r="Y7" s="244"/>
      <c r="Z7" s="243">
        <v>2003</v>
      </c>
      <c r="AA7" s="244"/>
      <c r="AB7" s="243">
        <v>2004</v>
      </c>
      <c r="AC7" s="244"/>
      <c r="AD7" s="243">
        <v>2005</v>
      </c>
      <c r="AE7" s="244"/>
      <c r="AF7" s="243">
        <v>2006</v>
      </c>
      <c r="AG7" s="244"/>
      <c r="AH7" s="243">
        <v>2007</v>
      </c>
      <c r="AI7" s="244"/>
      <c r="AJ7" s="243">
        <v>2008</v>
      </c>
      <c r="AK7" s="244"/>
      <c r="AL7" s="243">
        <v>2009</v>
      </c>
      <c r="AM7" s="244"/>
      <c r="AN7" s="243">
        <v>2010</v>
      </c>
      <c r="AO7" s="244"/>
      <c r="AP7" s="243">
        <v>2011</v>
      </c>
      <c r="AQ7" s="243"/>
      <c r="AR7" s="243">
        <v>2012</v>
      </c>
      <c r="AS7" s="244"/>
      <c r="AT7" s="243">
        <v>2013</v>
      </c>
      <c r="AU7" s="244"/>
      <c r="AV7" s="243">
        <v>2014</v>
      </c>
      <c r="AW7" s="243"/>
      <c r="AX7" s="243">
        <v>2015</v>
      </c>
      <c r="AY7" s="244"/>
      <c r="BA7" s="240"/>
      <c r="BB7" s="242" t="s">
        <v>347</v>
      </c>
      <c r="BC7" s="242" t="s">
        <v>349</v>
      </c>
      <c r="BD7" s="242" t="s">
        <v>352</v>
      </c>
      <c r="BE7" s="242" t="s">
        <v>376</v>
      </c>
      <c r="BF7" s="243">
        <v>1990</v>
      </c>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c r="CW7" s="637">
        <v>4</v>
      </c>
      <c r="CX7" s="637" t="s">
        <v>386</v>
      </c>
      <c r="CY7" s="637">
        <v>213500</v>
      </c>
      <c r="CZ7" s="637">
        <v>47150</v>
      </c>
      <c r="DA7" s="637">
        <v>10000</v>
      </c>
      <c r="DB7" s="637">
        <v>65330</v>
      </c>
    </row>
    <row r="8" spans="1:106" s="251" customFormat="1" ht="20.25" customHeight="1">
      <c r="A8" s="246"/>
      <c r="B8" s="247">
        <v>6</v>
      </c>
      <c r="C8" s="248">
        <v>1</v>
      </c>
      <c r="D8" s="249" t="s">
        <v>563</v>
      </c>
      <c r="E8" s="250" t="s">
        <v>360</v>
      </c>
      <c r="F8" s="610"/>
      <c r="G8" s="622"/>
      <c r="H8" s="610"/>
      <c r="I8" s="622"/>
      <c r="J8" s="610"/>
      <c r="K8" s="622"/>
      <c r="L8" s="610"/>
      <c r="M8" s="622"/>
      <c r="N8" s="610"/>
      <c r="O8" s="622"/>
      <c r="P8" s="610"/>
      <c r="Q8" s="622"/>
      <c r="R8" s="610"/>
      <c r="S8" s="622"/>
      <c r="T8" s="610"/>
      <c r="U8" s="622"/>
      <c r="V8" s="610"/>
      <c r="W8" s="622"/>
      <c r="X8" s="610"/>
      <c r="Y8" s="622"/>
      <c r="Z8" s="610"/>
      <c r="AA8" s="622"/>
      <c r="AB8" s="610"/>
      <c r="AC8" s="622"/>
      <c r="AD8" s="610"/>
      <c r="AE8" s="622"/>
      <c r="AF8" s="610"/>
      <c r="AG8" s="622"/>
      <c r="AH8" s="610"/>
      <c r="AI8" s="622"/>
      <c r="AJ8" s="610"/>
      <c r="AK8" s="622"/>
      <c r="AL8" s="610"/>
      <c r="AM8" s="622"/>
      <c r="AN8" s="610"/>
      <c r="AO8" s="622"/>
      <c r="AP8" s="610"/>
      <c r="AQ8" s="622"/>
      <c r="AR8" s="610"/>
      <c r="AS8" s="622"/>
      <c r="AT8" s="610"/>
      <c r="AU8" s="622"/>
      <c r="AV8" s="610"/>
      <c r="AW8" s="622"/>
      <c r="AX8" s="610"/>
      <c r="AY8" s="622"/>
      <c r="BA8" s="252"/>
      <c r="BB8" s="101">
        <v>1</v>
      </c>
      <c r="BC8" s="253" t="s">
        <v>92</v>
      </c>
      <c r="BD8" s="254" t="s">
        <v>93</v>
      </c>
      <c r="BE8" s="255" t="str">
        <f>IF(OR(ISERR(AVERAGE(H8:AX8)),ISBLANK(F8)),"N/A",IF(OR(F8&lt;AVERAGE(H8:AX8)*0.75,F8&gt;AVERAGE(H8:AX8)*1.25),"&lt;&gt;Average","ok"))</f>
        <v>N/A</v>
      </c>
      <c r="BF8" s="646" t="s">
        <v>97</v>
      </c>
      <c r="BG8" s="101" t="str">
        <f>IF(OR(ISBLANK(H8),ISBLANK(J8)),"N/A",IF(ABS((J8-H8)/H8)&gt;1,"&gt; 100%","ok"))</f>
        <v>N/A</v>
      </c>
      <c r="BH8" s="646"/>
      <c r="BI8" s="82" t="str">
        <f>IF(OR(ISBLANK(L8),ISBLANK(J8)),"N/A",IF(ABS((L8-J8)/J8)&gt;0.25,"&gt; 25%","ok"))</f>
        <v>N/A</v>
      </c>
      <c r="BJ8" s="646"/>
      <c r="BK8" s="82" t="str">
        <f aca="true" t="shared" si="0" ref="BK8:CU8">IF(OR(ISBLANK(N8),ISBLANK(L8)),"N/A",IF(ABS((N8-L8)/L8)&gt;0.25,"&gt; 25%","ok"))</f>
        <v>N/A</v>
      </c>
      <c r="BL8" s="646"/>
      <c r="BM8" s="82" t="str">
        <f t="shared" si="0"/>
        <v>N/A</v>
      </c>
      <c r="BN8" s="646"/>
      <c r="BO8" s="82" t="str">
        <f t="shared" si="0"/>
        <v>N/A</v>
      </c>
      <c r="BP8" s="646"/>
      <c r="BQ8" s="82" t="str">
        <f t="shared" si="0"/>
        <v>N/A</v>
      </c>
      <c r="BR8" s="646"/>
      <c r="BS8" s="82" t="str">
        <f t="shared" si="0"/>
        <v>N/A</v>
      </c>
      <c r="BT8" s="646"/>
      <c r="BU8" s="82" t="str">
        <f t="shared" si="0"/>
        <v>N/A</v>
      </c>
      <c r="BV8" s="646"/>
      <c r="BW8" s="82" t="str">
        <f t="shared" si="0"/>
        <v>N/A</v>
      </c>
      <c r="BX8" s="646"/>
      <c r="BY8" s="82" t="str">
        <f t="shared" si="0"/>
        <v>N/A</v>
      </c>
      <c r="BZ8" s="646"/>
      <c r="CA8" s="82" t="str">
        <f t="shared" si="0"/>
        <v>N/A</v>
      </c>
      <c r="CB8" s="646"/>
      <c r="CC8" s="82" t="str">
        <f t="shared" si="0"/>
        <v>N/A</v>
      </c>
      <c r="CD8" s="646"/>
      <c r="CE8" s="82" t="str">
        <f t="shared" si="0"/>
        <v>N/A</v>
      </c>
      <c r="CF8" s="646"/>
      <c r="CG8" s="82" t="str">
        <f t="shared" si="0"/>
        <v>N/A</v>
      </c>
      <c r="CH8" s="646"/>
      <c r="CI8" s="82" t="str">
        <f t="shared" si="0"/>
        <v>N/A</v>
      </c>
      <c r="CJ8" s="646"/>
      <c r="CK8" s="82" t="str">
        <f t="shared" si="0"/>
        <v>N/A</v>
      </c>
      <c r="CL8" s="646"/>
      <c r="CM8" s="82" t="str">
        <f t="shared" si="0"/>
        <v>N/A</v>
      </c>
      <c r="CN8" s="646"/>
      <c r="CO8" s="82" t="str">
        <f t="shared" si="0"/>
        <v>N/A</v>
      </c>
      <c r="CP8" s="646"/>
      <c r="CQ8" s="82" t="str">
        <f t="shared" si="0"/>
        <v>N/A</v>
      </c>
      <c r="CR8" s="646"/>
      <c r="CS8" s="82" t="str">
        <f t="shared" si="0"/>
        <v>N/A</v>
      </c>
      <c r="CT8" s="646"/>
      <c r="CU8" s="82" t="str">
        <f t="shared" si="0"/>
        <v>N/A</v>
      </c>
      <c r="CV8" s="646"/>
      <c r="CW8" s="637">
        <v>8</v>
      </c>
      <c r="CX8" s="637" t="s">
        <v>387</v>
      </c>
      <c r="CY8" s="637">
        <v>42690</v>
      </c>
      <c r="CZ8" s="637">
        <v>26900</v>
      </c>
      <c r="DA8" s="637">
        <v>3300</v>
      </c>
      <c r="DB8" s="637">
        <v>30200</v>
      </c>
    </row>
    <row r="9" spans="1:106" s="251" customFormat="1" ht="20.25" customHeight="1">
      <c r="A9" s="246"/>
      <c r="B9" s="247">
        <v>7</v>
      </c>
      <c r="C9" s="256">
        <v>2</v>
      </c>
      <c r="D9" s="257" t="s">
        <v>561</v>
      </c>
      <c r="E9" s="256" t="s">
        <v>360</v>
      </c>
      <c r="F9" s="641"/>
      <c r="G9" s="623"/>
      <c r="H9" s="641"/>
      <c r="I9" s="623"/>
      <c r="J9" s="641"/>
      <c r="K9" s="623"/>
      <c r="L9" s="641"/>
      <c r="M9" s="623"/>
      <c r="N9" s="641"/>
      <c r="O9" s="623"/>
      <c r="P9" s="641"/>
      <c r="Q9" s="623"/>
      <c r="R9" s="641"/>
      <c r="S9" s="623"/>
      <c r="T9" s="641"/>
      <c r="U9" s="623"/>
      <c r="V9" s="641"/>
      <c r="W9" s="623"/>
      <c r="X9" s="641"/>
      <c r="Y9" s="623"/>
      <c r="Z9" s="641"/>
      <c r="AA9" s="623"/>
      <c r="AB9" s="641"/>
      <c r="AC9" s="623"/>
      <c r="AD9" s="641"/>
      <c r="AE9" s="623"/>
      <c r="AF9" s="641"/>
      <c r="AG9" s="623"/>
      <c r="AH9" s="641"/>
      <c r="AI9" s="623"/>
      <c r="AJ9" s="641"/>
      <c r="AK9" s="623"/>
      <c r="AL9" s="641"/>
      <c r="AM9" s="623"/>
      <c r="AN9" s="641"/>
      <c r="AO9" s="623"/>
      <c r="AP9" s="641"/>
      <c r="AQ9" s="623"/>
      <c r="AR9" s="641"/>
      <c r="AS9" s="623"/>
      <c r="AT9" s="641"/>
      <c r="AU9" s="623"/>
      <c r="AV9" s="641"/>
      <c r="AW9" s="623"/>
      <c r="AX9" s="641"/>
      <c r="AY9" s="623"/>
      <c r="BA9" s="252"/>
      <c r="BB9" s="84">
        <v>2</v>
      </c>
      <c r="BC9" s="258" t="s">
        <v>561</v>
      </c>
      <c r="BD9" s="85" t="s">
        <v>93</v>
      </c>
      <c r="BE9" s="84" t="str">
        <f aca="true" t="shared" si="1" ref="BE9:BE16">IF(OR(ISERR(AVERAGE(H9:AV9)),ISBLANK(F9)),"N/A",IF(OR(F9&lt;AVERAGE(H9:AV9)*0.75,F9&gt;AVERAGE(H9:AV9)*1.25),"&lt;&gt;Average","ok"))</f>
        <v>N/A</v>
      </c>
      <c r="BF9" s="647" t="s">
        <v>97</v>
      </c>
      <c r="BG9" s="101" t="str">
        <f aca="true" t="shared" si="2" ref="BG9:BG16">IF(OR(ISBLANK(H9),ISBLANK(J9)),"N/A",IF(ABS((J9-H9)/H9)&gt;1,"&gt; 100%","ok"))</f>
        <v>N/A</v>
      </c>
      <c r="BH9" s="647"/>
      <c r="BI9" s="82" t="str">
        <f aca="true" t="shared" si="3" ref="BI9:BI16">IF(OR(ISBLANK(L9),ISBLANK(J9)),"N/A",IF(ABS((L9-J9)/J9)&gt;0.25,"&gt; 25%","ok"))</f>
        <v>N/A</v>
      </c>
      <c r="BJ9" s="647"/>
      <c r="BK9" s="82" t="str">
        <f aca="true" t="shared" si="4" ref="BK9:BK16">IF(OR(ISBLANK(N9),ISBLANK(L9)),"N/A",IF(ABS((N9-L9)/L9)&gt;0.25,"&gt; 25%","ok"))</f>
        <v>N/A</v>
      </c>
      <c r="BL9" s="647"/>
      <c r="BM9" s="82" t="str">
        <f aca="true" t="shared" si="5" ref="BM9:BM16">IF(OR(ISBLANK(P9),ISBLANK(N9)),"N/A",IF(ABS((P9-N9)/N9)&gt;0.25,"&gt; 25%","ok"))</f>
        <v>N/A</v>
      </c>
      <c r="BN9" s="647"/>
      <c r="BO9" s="82" t="str">
        <f aca="true" t="shared" si="6" ref="BO9:BO16">IF(OR(ISBLANK(R9),ISBLANK(P9)),"N/A",IF(ABS((R9-P9)/P9)&gt;0.25,"&gt; 25%","ok"))</f>
        <v>N/A</v>
      </c>
      <c r="BP9" s="647"/>
      <c r="BQ9" s="82" t="str">
        <f aca="true" t="shared" si="7" ref="BQ9:BQ16">IF(OR(ISBLANK(T9),ISBLANK(R9)),"N/A",IF(ABS((T9-R9)/R9)&gt;0.25,"&gt; 25%","ok"))</f>
        <v>N/A</v>
      </c>
      <c r="BR9" s="647"/>
      <c r="BS9" s="82" t="str">
        <f aca="true" t="shared" si="8" ref="BS9:BS16">IF(OR(ISBLANK(V9),ISBLANK(T9)),"N/A",IF(ABS((V9-T9)/T9)&gt;0.25,"&gt; 25%","ok"))</f>
        <v>N/A</v>
      </c>
      <c r="BT9" s="647"/>
      <c r="BU9" s="82" t="str">
        <f aca="true" t="shared" si="9" ref="BU9:BU16">IF(OR(ISBLANK(X9),ISBLANK(V9)),"N/A",IF(ABS((X9-V9)/V9)&gt;0.25,"&gt; 25%","ok"))</f>
        <v>N/A</v>
      </c>
      <c r="BV9" s="647"/>
      <c r="BW9" s="82" t="str">
        <f aca="true" t="shared" si="10" ref="BW9:BW16">IF(OR(ISBLANK(Z9),ISBLANK(X9)),"N/A",IF(ABS((Z9-X9)/X9)&gt;0.25,"&gt; 25%","ok"))</f>
        <v>N/A</v>
      </c>
      <c r="BX9" s="647"/>
      <c r="BY9" s="82" t="str">
        <f aca="true" t="shared" si="11" ref="BY9:BY16">IF(OR(ISBLANK(AB9),ISBLANK(Z9)),"N/A",IF(ABS((AB9-Z9)/Z9)&gt;0.25,"&gt; 25%","ok"))</f>
        <v>N/A</v>
      </c>
      <c r="BZ9" s="647"/>
      <c r="CA9" s="82" t="str">
        <f aca="true" t="shared" si="12" ref="CA9:CA16">IF(OR(ISBLANK(AD9),ISBLANK(AB9)),"N/A",IF(ABS((AD9-AB9)/AB9)&gt;0.25,"&gt; 25%","ok"))</f>
        <v>N/A</v>
      </c>
      <c r="CB9" s="647"/>
      <c r="CC9" s="82" t="str">
        <f aca="true" t="shared" si="13" ref="CC9:CC16">IF(OR(ISBLANK(AF9),ISBLANK(AD9)),"N/A",IF(ABS((AF9-AD9)/AD9)&gt;0.25,"&gt; 25%","ok"))</f>
        <v>N/A</v>
      </c>
      <c r="CD9" s="647"/>
      <c r="CE9" s="82" t="str">
        <f aca="true" t="shared" si="14" ref="CE9:CE16">IF(OR(ISBLANK(AH9),ISBLANK(AF9)),"N/A",IF(ABS((AH9-AF9)/AF9)&gt;0.25,"&gt; 25%","ok"))</f>
        <v>N/A</v>
      </c>
      <c r="CF9" s="647"/>
      <c r="CG9" s="82" t="str">
        <f aca="true" t="shared" si="15" ref="CG9:CG16">IF(OR(ISBLANK(AJ9),ISBLANK(AH9)),"N/A",IF(ABS((AJ9-AH9)/AH9)&gt;0.25,"&gt; 25%","ok"))</f>
        <v>N/A</v>
      </c>
      <c r="CH9" s="647"/>
      <c r="CI9" s="82" t="str">
        <f aca="true" t="shared" si="16" ref="CI9:CI16">IF(OR(ISBLANK(AL9),ISBLANK(AJ9)),"N/A",IF(ABS((AL9-AJ9)/AJ9)&gt;0.25,"&gt; 25%","ok"))</f>
        <v>N/A</v>
      </c>
      <c r="CJ9" s="647"/>
      <c r="CK9" s="82" t="str">
        <f aca="true" t="shared" si="17" ref="CK9:CK16">IF(OR(ISBLANK(AN9),ISBLANK(AL9)),"N/A",IF(ABS((AN9-AL9)/AL9)&gt;0.25,"&gt; 25%","ok"))</f>
        <v>N/A</v>
      </c>
      <c r="CL9" s="647"/>
      <c r="CM9" s="82" t="str">
        <f aca="true" t="shared" si="18" ref="CM9:CM16">IF(OR(ISBLANK(AP9),ISBLANK(AN9)),"N/A",IF(ABS((AP9-AN9)/AN9)&gt;0.25,"&gt; 25%","ok"))</f>
        <v>N/A</v>
      </c>
      <c r="CN9" s="647"/>
      <c r="CO9" s="82" t="str">
        <f aca="true" t="shared" si="19" ref="CO9:CO16">IF(OR(ISBLANK(AR9),ISBLANK(AP9)),"N/A",IF(ABS((AR9-AP9)/AP9)&gt;0.25,"&gt; 25%","ok"))</f>
        <v>N/A</v>
      </c>
      <c r="CP9" s="647"/>
      <c r="CQ9" s="82" t="str">
        <f aca="true" t="shared" si="20" ref="CQ9:CQ16">IF(OR(ISBLANK(AT9),ISBLANK(AR9)),"N/A",IF(ABS((AT9-AR9)/AR9)&gt;0.25,"&gt; 25%","ok"))</f>
        <v>N/A</v>
      </c>
      <c r="CR9" s="647"/>
      <c r="CS9" s="82" t="str">
        <f aca="true" t="shared" si="21" ref="CS9:CS16">IF(OR(ISBLANK(AV9),ISBLANK(AT9)),"N/A",IF(ABS((AV9-AT9)/AT9)&gt;0.25,"&gt; 25%","ok"))</f>
        <v>N/A</v>
      </c>
      <c r="CT9" s="647"/>
      <c r="CU9" s="82" t="str">
        <f aca="true" t="shared" si="22" ref="CU9:CU16">IF(OR(ISBLANK(AX9),ISBLANK(AV9)),"N/A",IF(ABS((AX9-AV9)/AV9)&gt;0.25,"&gt; 25%","ok"))</f>
        <v>N/A</v>
      </c>
      <c r="CV9" s="647"/>
      <c r="CW9" s="637">
        <v>12</v>
      </c>
      <c r="CX9" s="637" t="s">
        <v>388</v>
      </c>
      <c r="CY9" s="637">
        <v>212000</v>
      </c>
      <c r="CZ9" s="637">
        <v>11250</v>
      </c>
      <c r="DA9" s="637">
        <v>420</v>
      </c>
      <c r="DB9" s="637">
        <v>11670</v>
      </c>
    </row>
    <row r="10" spans="1:106" s="260" customFormat="1" ht="20.25" customHeight="1">
      <c r="A10" s="259" t="s">
        <v>76</v>
      </c>
      <c r="B10" s="247">
        <v>5</v>
      </c>
      <c r="C10" s="248">
        <v>3</v>
      </c>
      <c r="D10" s="257" t="s">
        <v>23</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X10" s="641"/>
      <c r="AY10" s="623"/>
      <c r="BA10" s="261"/>
      <c r="BB10" s="101">
        <v>3</v>
      </c>
      <c r="BC10" s="258" t="s">
        <v>23</v>
      </c>
      <c r="BD10" s="84" t="s">
        <v>93</v>
      </c>
      <c r="BE10" s="84" t="str">
        <f t="shared" si="1"/>
        <v>N/A</v>
      </c>
      <c r="BF10" s="647" t="s">
        <v>97</v>
      </c>
      <c r="BG10" s="101" t="str">
        <f t="shared" si="2"/>
        <v>N/A</v>
      </c>
      <c r="BH10" s="647"/>
      <c r="BI10" s="82" t="str">
        <f t="shared" si="3"/>
        <v>N/A</v>
      </c>
      <c r="BJ10" s="647"/>
      <c r="BK10" s="82" t="str">
        <f t="shared" si="4"/>
        <v>N/A</v>
      </c>
      <c r="BL10" s="647"/>
      <c r="BM10" s="82" t="str">
        <f t="shared" si="5"/>
        <v>N/A</v>
      </c>
      <c r="BN10" s="647"/>
      <c r="BO10" s="82" t="str">
        <f t="shared" si="6"/>
        <v>N/A</v>
      </c>
      <c r="BP10" s="647"/>
      <c r="BQ10" s="82" t="str">
        <f t="shared" si="7"/>
        <v>N/A</v>
      </c>
      <c r="BR10" s="647"/>
      <c r="BS10" s="82" t="str">
        <f t="shared" si="8"/>
        <v>N/A</v>
      </c>
      <c r="BT10" s="647"/>
      <c r="BU10" s="82" t="str">
        <f t="shared" si="9"/>
        <v>N/A</v>
      </c>
      <c r="BV10" s="647"/>
      <c r="BW10" s="82" t="str">
        <f t="shared" si="10"/>
        <v>N/A</v>
      </c>
      <c r="BX10" s="647"/>
      <c r="BY10" s="82" t="str">
        <f t="shared" si="11"/>
        <v>N/A</v>
      </c>
      <c r="BZ10" s="647"/>
      <c r="CA10" s="82" t="str">
        <f t="shared" si="12"/>
        <v>N/A</v>
      </c>
      <c r="CB10" s="647"/>
      <c r="CC10" s="82" t="str">
        <f t="shared" si="13"/>
        <v>N/A</v>
      </c>
      <c r="CD10" s="647"/>
      <c r="CE10" s="82" t="str">
        <f t="shared" si="14"/>
        <v>N/A</v>
      </c>
      <c r="CF10" s="647"/>
      <c r="CG10" s="82" t="str">
        <f t="shared" si="15"/>
        <v>N/A</v>
      </c>
      <c r="CH10" s="647"/>
      <c r="CI10" s="82" t="str">
        <f t="shared" si="16"/>
        <v>N/A</v>
      </c>
      <c r="CJ10" s="647"/>
      <c r="CK10" s="82" t="str">
        <f t="shared" si="17"/>
        <v>N/A</v>
      </c>
      <c r="CL10" s="647"/>
      <c r="CM10" s="82" t="str">
        <f t="shared" si="18"/>
        <v>N/A</v>
      </c>
      <c r="CN10" s="647"/>
      <c r="CO10" s="82" t="str">
        <f t="shared" si="19"/>
        <v>N/A</v>
      </c>
      <c r="CP10" s="647"/>
      <c r="CQ10" s="82" t="str">
        <f t="shared" si="20"/>
        <v>N/A</v>
      </c>
      <c r="CR10" s="647"/>
      <c r="CS10" s="82" t="str">
        <f t="shared" si="21"/>
        <v>N/A</v>
      </c>
      <c r="CT10" s="647"/>
      <c r="CU10" s="82" t="str">
        <f t="shared" si="22"/>
        <v>N/A</v>
      </c>
      <c r="CV10" s="647"/>
      <c r="CW10" s="637">
        <v>20</v>
      </c>
      <c r="CX10" s="637" t="s">
        <v>172</v>
      </c>
      <c r="CY10" s="637">
        <v>472.4</v>
      </c>
      <c r="CZ10" s="637">
        <v>315.6</v>
      </c>
      <c r="DA10" s="637"/>
      <c r="DB10" s="637">
        <v>315.6</v>
      </c>
    </row>
    <row r="11" spans="1:106" s="251" customFormat="1" ht="34.5" customHeight="1">
      <c r="A11" s="246"/>
      <c r="B11" s="247">
        <v>8</v>
      </c>
      <c r="C11" s="256">
        <v>4</v>
      </c>
      <c r="D11" s="262" t="s">
        <v>246</v>
      </c>
      <c r="E11" s="256" t="s">
        <v>360</v>
      </c>
      <c r="F11" s="641"/>
      <c r="G11" s="623"/>
      <c r="H11" s="641"/>
      <c r="I11" s="623"/>
      <c r="J11" s="641"/>
      <c r="K11" s="623"/>
      <c r="L11" s="641"/>
      <c r="M11" s="623"/>
      <c r="N11" s="641"/>
      <c r="O11" s="623"/>
      <c r="P11" s="641"/>
      <c r="Q11" s="623"/>
      <c r="R11" s="641"/>
      <c r="S11" s="623"/>
      <c r="T11" s="641"/>
      <c r="U11" s="623"/>
      <c r="V11" s="641"/>
      <c r="W11" s="623"/>
      <c r="X11" s="641"/>
      <c r="Y11" s="623"/>
      <c r="Z11" s="641"/>
      <c r="AA11" s="623"/>
      <c r="AB11" s="641"/>
      <c r="AC11" s="623"/>
      <c r="AD11" s="641"/>
      <c r="AE11" s="623"/>
      <c r="AF11" s="641"/>
      <c r="AG11" s="623"/>
      <c r="AH11" s="641"/>
      <c r="AI11" s="623"/>
      <c r="AJ11" s="641"/>
      <c r="AK11" s="623"/>
      <c r="AL11" s="641"/>
      <c r="AM11" s="623"/>
      <c r="AN11" s="641"/>
      <c r="AO11" s="623"/>
      <c r="AP11" s="641"/>
      <c r="AQ11" s="623"/>
      <c r="AR11" s="641"/>
      <c r="AS11" s="623"/>
      <c r="AT11" s="641"/>
      <c r="AU11" s="623"/>
      <c r="AV11" s="641"/>
      <c r="AW11" s="623"/>
      <c r="AX11" s="641"/>
      <c r="AY11" s="623"/>
      <c r="BA11" s="252"/>
      <c r="BB11" s="84">
        <v>4</v>
      </c>
      <c r="BC11" s="258" t="s">
        <v>246</v>
      </c>
      <c r="BD11" s="85" t="s">
        <v>93</v>
      </c>
      <c r="BE11" s="84" t="str">
        <f t="shared" si="1"/>
        <v>N/A</v>
      </c>
      <c r="BF11" s="647" t="s">
        <v>97</v>
      </c>
      <c r="BG11" s="101" t="str">
        <f t="shared" si="2"/>
        <v>N/A</v>
      </c>
      <c r="BH11" s="647"/>
      <c r="BI11" s="82" t="str">
        <f t="shared" si="3"/>
        <v>N/A</v>
      </c>
      <c r="BJ11" s="647"/>
      <c r="BK11" s="82" t="str">
        <f t="shared" si="4"/>
        <v>N/A</v>
      </c>
      <c r="BL11" s="647"/>
      <c r="BM11" s="82" t="str">
        <f t="shared" si="5"/>
        <v>N/A</v>
      </c>
      <c r="BN11" s="647"/>
      <c r="BO11" s="82" t="str">
        <f t="shared" si="6"/>
        <v>N/A</v>
      </c>
      <c r="BP11" s="647"/>
      <c r="BQ11" s="82" t="str">
        <f t="shared" si="7"/>
        <v>N/A</v>
      </c>
      <c r="BR11" s="647"/>
      <c r="BS11" s="82" t="str">
        <f t="shared" si="8"/>
        <v>N/A</v>
      </c>
      <c r="BT11" s="647"/>
      <c r="BU11" s="82" t="str">
        <f t="shared" si="9"/>
        <v>N/A</v>
      </c>
      <c r="BV11" s="647"/>
      <c r="BW11" s="82" t="str">
        <f t="shared" si="10"/>
        <v>N/A</v>
      </c>
      <c r="BX11" s="647"/>
      <c r="BY11" s="82" t="str">
        <f t="shared" si="11"/>
        <v>N/A</v>
      </c>
      <c r="BZ11" s="647"/>
      <c r="CA11" s="82" t="str">
        <f t="shared" si="12"/>
        <v>N/A</v>
      </c>
      <c r="CB11" s="647"/>
      <c r="CC11" s="82" t="str">
        <f t="shared" si="13"/>
        <v>N/A</v>
      </c>
      <c r="CD11" s="647"/>
      <c r="CE11" s="82" t="str">
        <f t="shared" si="14"/>
        <v>N/A</v>
      </c>
      <c r="CF11" s="647"/>
      <c r="CG11" s="82" t="str">
        <f t="shared" si="15"/>
        <v>N/A</v>
      </c>
      <c r="CH11" s="647"/>
      <c r="CI11" s="82" t="str">
        <f t="shared" si="16"/>
        <v>N/A</v>
      </c>
      <c r="CJ11" s="647"/>
      <c r="CK11" s="82" t="str">
        <f t="shared" si="17"/>
        <v>N/A</v>
      </c>
      <c r="CL11" s="647"/>
      <c r="CM11" s="82" t="str">
        <f t="shared" si="18"/>
        <v>N/A</v>
      </c>
      <c r="CN11" s="647"/>
      <c r="CO11" s="82" t="str">
        <f t="shared" si="19"/>
        <v>N/A</v>
      </c>
      <c r="CP11" s="647"/>
      <c r="CQ11" s="82" t="str">
        <f t="shared" si="20"/>
        <v>N/A</v>
      </c>
      <c r="CR11" s="647"/>
      <c r="CS11" s="82" t="str">
        <f t="shared" si="21"/>
        <v>N/A</v>
      </c>
      <c r="CT11" s="647"/>
      <c r="CU11" s="82" t="str">
        <f t="shared" si="22"/>
        <v>N/A</v>
      </c>
      <c r="CV11" s="647"/>
      <c r="CW11" s="637">
        <v>24</v>
      </c>
      <c r="CX11" s="637" t="s">
        <v>389</v>
      </c>
      <c r="CY11" s="637">
        <v>1259000</v>
      </c>
      <c r="CZ11" s="637">
        <v>148000</v>
      </c>
      <c r="DA11" s="637">
        <v>400</v>
      </c>
      <c r="DB11" s="637">
        <v>148400</v>
      </c>
    </row>
    <row r="12" spans="1:106" s="266" customFormat="1" ht="34.5" customHeight="1">
      <c r="A12" s="259" t="s">
        <v>76</v>
      </c>
      <c r="B12" s="247">
        <v>124</v>
      </c>
      <c r="C12" s="263">
        <v>5</v>
      </c>
      <c r="D12" s="264" t="s">
        <v>22</v>
      </c>
      <c r="E12" s="265" t="s">
        <v>360</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X12" s="642"/>
      <c r="AY12" s="624"/>
      <c r="BA12" s="261"/>
      <c r="BB12" s="101">
        <v>5</v>
      </c>
      <c r="BC12" s="267" t="s">
        <v>22</v>
      </c>
      <c r="BD12" s="85" t="s">
        <v>93</v>
      </c>
      <c r="BE12" s="84" t="str">
        <f t="shared" si="1"/>
        <v>N/A</v>
      </c>
      <c r="BF12" s="647" t="s">
        <v>97</v>
      </c>
      <c r="BG12" s="101" t="str">
        <f t="shared" si="2"/>
        <v>N/A</v>
      </c>
      <c r="BH12" s="647"/>
      <c r="BI12" s="82" t="str">
        <f t="shared" si="3"/>
        <v>N/A</v>
      </c>
      <c r="BJ12" s="647"/>
      <c r="BK12" s="82" t="str">
        <f t="shared" si="4"/>
        <v>N/A</v>
      </c>
      <c r="BL12" s="647"/>
      <c r="BM12" s="82" t="str">
        <f t="shared" si="5"/>
        <v>N/A</v>
      </c>
      <c r="BN12" s="647"/>
      <c r="BO12" s="82" t="str">
        <f t="shared" si="6"/>
        <v>N/A</v>
      </c>
      <c r="BP12" s="647"/>
      <c r="BQ12" s="82" t="str">
        <f t="shared" si="7"/>
        <v>N/A</v>
      </c>
      <c r="BR12" s="647"/>
      <c r="BS12" s="82" t="str">
        <f t="shared" si="8"/>
        <v>N/A</v>
      </c>
      <c r="BT12" s="647"/>
      <c r="BU12" s="82" t="str">
        <f t="shared" si="9"/>
        <v>N/A</v>
      </c>
      <c r="BV12" s="647"/>
      <c r="BW12" s="82" t="str">
        <f t="shared" si="10"/>
        <v>N/A</v>
      </c>
      <c r="BX12" s="647"/>
      <c r="BY12" s="82" t="str">
        <f t="shared" si="11"/>
        <v>N/A</v>
      </c>
      <c r="BZ12" s="647"/>
      <c r="CA12" s="82" t="str">
        <f t="shared" si="12"/>
        <v>N/A</v>
      </c>
      <c r="CB12" s="647"/>
      <c r="CC12" s="82" t="str">
        <f t="shared" si="13"/>
        <v>N/A</v>
      </c>
      <c r="CD12" s="647"/>
      <c r="CE12" s="82" t="str">
        <f t="shared" si="14"/>
        <v>N/A</v>
      </c>
      <c r="CF12" s="647"/>
      <c r="CG12" s="82" t="str">
        <f t="shared" si="15"/>
        <v>N/A</v>
      </c>
      <c r="CH12" s="647"/>
      <c r="CI12" s="82" t="str">
        <f t="shared" si="16"/>
        <v>N/A</v>
      </c>
      <c r="CJ12" s="647"/>
      <c r="CK12" s="82" t="str">
        <f t="shared" si="17"/>
        <v>N/A</v>
      </c>
      <c r="CL12" s="647"/>
      <c r="CM12" s="82" t="str">
        <f t="shared" si="18"/>
        <v>N/A</v>
      </c>
      <c r="CN12" s="647"/>
      <c r="CO12" s="82" t="str">
        <f t="shared" si="19"/>
        <v>N/A</v>
      </c>
      <c r="CP12" s="647"/>
      <c r="CQ12" s="82" t="str">
        <f t="shared" si="20"/>
        <v>N/A</v>
      </c>
      <c r="CR12" s="647"/>
      <c r="CS12" s="82" t="str">
        <f t="shared" si="21"/>
        <v>N/A</v>
      </c>
      <c r="CT12" s="647"/>
      <c r="CU12" s="82" t="str">
        <f t="shared" si="22"/>
        <v>N/A</v>
      </c>
      <c r="CV12" s="647"/>
      <c r="CW12" s="637">
        <v>28</v>
      </c>
      <c r="CX12" s="637" t="s">
        <v>390</v>
      </c>
      <c r="CY12" s="637">
        <v>453.2</v>
      </c>
      <c r="CZ12" s="637">
        <v>52</v>
      </c>
      <c r="DA12" s="637">
        <v>0</v>
      </c>
      <c r="DB12" s="637">
        <v>52</v>
      </c>
    </row>
    <row r="13" spans="1:106" s="266" customFormat="1" ht="34.5" customHeight="1">
      <c r="A13" s="268" t="s">
        <v>76</v>
      </c>
      <c r="B13" s="247">
        <v>127</v>
      </c>
      <c r="C13" s="256">
        <v>6</v>
      </c>
      <c r="D13" s="262" t="s">
        <v>244</v>
      </c>
      <c r="E13" s="269"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X13" s="641"/>
      <c r="AY13" s="623"/>
      <c r="BA13" s="261"/>
      <c r="BB13" s="101">
        <v>6</v>
      </c>
      <c r="BC13" s="258" t="s">
        <v>554</v>
      </c>
      <c r="BD13" s="85" t="s">
        <v>93</v>
      </c>
      <c r="BE13" s="270" t="str">
        <f t="shared" si="1"/>
        <v>N/A</v>
      </c>
      <c r="BF13" s="648" t="s">
        <v>97</v>
      </c>
      <c r="BG13" s="84" t="str">
        <f t="shared" si="2"/>
        <v>N/A</v>
      </c>
      <c r="BH13" s="648"/>
      <c r="BI13" s="82" t="str">
        <f t="shared" si="3"/>
        <v>N/A</v>
      </c>
      <c r="BJ13" s="648"/>
      <c r="BK13" s="85" t="str">
        <f t="shared" si="4"/>
        <v>N/A</v>
      </c>
      <c r="BL13" s="647"/>
      <c r="BM13" s="85" t="str">
        <f t="shared" si="5"/>
        <v>N/A</v>
      </c>
      <c r="BN13" s="647"/>
      <c r="BO13" s="85" t="str">
        <f t="shared" si="6"/>
        <v>N/A</v>
      </c>
      <c r="BP13" s="647"/>
      <c r="BQ13" s="85" t="str">
        <f t="shared" si="7"/>
        <v>N/A</v>
      </c>
      <c r="BR13" s="647"/>
      <c r="BS13" s="85" t="str">
        <f t="shared" si="8"/>
        <v>N/A</v>
      </c>
      <c r="BT13" s="647"/>
      <c r="BU13" s="85" t="str">
        <f t="shared" si="9"/>
        <v>N/A</v>
      </c>
      <c r="BV13" s="647"/>
      <c r="BW13" s="85" t="str">
        <f t="shared" si="10"/>
        <v>N/A</v>
      </c>
      <c r="BX13" s="647"/>
      <c r="BY13" s="85" t="str">
        <f t="shared" si="11"/>
        <v>N/A</v>
      </c>
      <c r="BZ13" s="647"/>
      <c r="CA13" s="85" t="str">
        <f t="shared" si="12"/>
        <v>N/A</v>
      </c>
      <c r="CB13" s="647"/>
      <c r="CC13" s="82" t="str">
        <f t="shared" si="13"/>
        <v>N/A</v>
      </c>
      <c r="CD13" s="648"/>
      <c r="CE13" s="82" t="str">
        <f t="shared" si="14"/>
        <v>N/A</v>
      </c>
      <c r="CF13" s="648"/>
      <c r="CG13" s="82" t="str">
        <f t="shared" si="15"/>
        <v>N/A</v>
      </c>
      <c r="CH13" s="648"/>
      <c r="CI13" s="82" t="str">
        <f t="shared" si="16"/>
        <v>N/A</v>
      </c>
      <c r="CJ13" s="648"/>
      <c r="CK13" s="82" t="str">
        <f t="shared" si="17"/>
        <v>N/A</v>
      </c>
      <c r="CL13" s="648"/>
      <c r="CM13" s="82" t="str">
        <f t="shared" si="18"/>
        <v>N/A</v>
      </c>
      <c r="CN13" s="648"/>
      <c r="CO13" s="82" t="str">
        <f t="shared" si="19"/>
        <v>N/A</v>
      </c>
      <c r="CP13" s="648"/>
      <c r="CQ13" s="82" t="str">
        <f t="shared" si="20"/>
        <v>N/A</v>
      </c>
      <c r="CR13" s="648"/>
      <c r="CS13" s="82" t="str">
        <f t="shared" si="21"/>
        <v>N/A</v>
      </c>
      <c r="CT13" s="648"/>
      <c r="CU13" s="82" t="str">
        <f t="shared" si="22"/>
        <v>N/A</v>
      </c>
      <c r="CV13" s="648"/>
      <c r="CW13" s="637">
        <v>32</v>
      </c>
      <c r="CX13" s="637" t="s">
        <v>391</v>
      </c>
      <c r="CY13" s="637">
        <v>1643000</v>
      </c>
      <c r="CZ13" s="637">
        <v>292000</v>
      </c>
      <c r="DA13" s="637">
        <v>516300</v>
      </c>
      <c r="DB13" s="637">
        <v>876200</v>
      </c>
    </row>
    <row r="14" spans="1:106" s="266" customFormat="1" ht="34.5" customHeight="1">
      <c r="A14" s="259"/>
      <c r="B14" s="247">
        <v>125</v>
      </c>
      <c r="C14" s="269">
        <v>7</v>
      </c>
      <c r="D14" s="271" t="s">
        <v>332</v>
      </c>
      <c r="E14" s="269" t="s">
        <v>360</v>
      </c>
      <c r="F14" s="643"/>
      <c r="G14" s="628"/>
      <c r="H14" s="643"/>
      <c r="I14" s="628"/>
      <c r="J14" s="643"/>
      <c r="K14" s="628"/>
      <c r="L14" s="643"/>
      <c r="M14" s="628"/>
      <c r="N14" s="643"/>
      <c r="O14" s="628"/>
      <c r="P14" s="643"/>
      <c r="Q14" s="628"/>
      <c r="R14" s="643"/>
      <c r="S14" s="628"/>
      <c r="T14" s="643"/>
      <c r="U14" s="628"/>
      <c r="V14" s="643"/>
      <c r="W14" s="628"/>
      <c r="X14" s="643"/>
      <c r="Y14" s="628"/>
      <c r="Z14" s="643"/>
      <c r="AA14" s="628"/>
      <c r="AB14" s="643"/>
      <c r="AC14" s="628"/>
      <c r="AD14" s="643"/>
      <c r="AE14" s="628"/>
      <c r="AF14" s="643"/>
      <c r="AG14" s="628"/>
      <c r="AH14" s="643"/>
      <c r="AI14" s="628"/>
      <c r="AJ14" s="643"/>
      <c r="AK14" s="628"/>
      <c r="AL14" s="643"/>
      <c r="AM14" s="628"/>
      <c r="AN14" s="643"/>
      <c r="AO14" s="628"/>
      <c r="AP14" s="643"/>
      <c r="AQ14" s="628"/>
      <c r="AR14" s="643"/>
      <c r="AS14" s="628"/>
      <c r="AT14" s="643"/>
      <c r="AU14" s="628"/>
      <c r="AV14" s="643"/>
      <c r="AW14" s="628"/>
      <c r="AX14" s="643"/>
      <c r="AY14" s="628"/>
      <c r="BA14" s="261"/>
      <c r="BB14" s="84">
        <v>7</v>
      </c>
      <c r="BC14" s="272" t="s">
        <v>571</v>
      </c>
      <c r="BD14" s="85" t="s">
        <v>93</v>
      </c>
      <c r="BE14" s="270" t="str">
        <f t="shared" si="1"/>
        <v>N/A</v>
      </c>
      <c r="BF14" s="648" t="s">
        <v>97</v>
      </c>
      <c r="BG14" s="84" t="str">
        <f t="shared" si="2"/>
        <v>N/A</v>
      </c>
      <c r="BH14" s="648"/>
      <c r="BI14" s="82" t="str">
        <f t="shared" si="3"/>
        <v>N/A</v>
      </c>
      <c r="BJ14" s="648"/>
      <c r="BK14" s="640" t="str">
        <f t="shared" si="4"/>
        <v>N/A</v>
      </c>
      <c r="BL14" s="649"/>
      <c r="BM14" s="640" t="str">
        <f t="shared" si="5"/>
        <v>N/A</v>
      </c>
      <c r="BN14" s="649"/>
      <c r="BO14" s="640" t="str">
        <f t="shared" si="6"/>
        <v>N/A</v>
      </c>
      <c r="BP14" s="649"/>
      <c r="BQ14" s="640" t="str">
        <f t="shared" si="7"/>
        <v>N/A</v>
      </c>
      <c r="BR14" s="649"/>
      <c r="BS14" s="640" t="str">
        <f t="shared" si="8"/>
        <v>N/A</v>
      </c>
      <c r="BT14" s="649"/>
      <c r="BU14" s="640" t="str">
        <f t="shared" si="9"/>
        <v>N/A</v>
      </c>
      <c r="BV14" s="649"/>
      <c r="BW14" s="640" t="str">
        <f t="shared" si="10"/>
        <v>N/A</v>
      </c>
      <c r="BX14" s="649"/>
      <c r="BY14" s="640" t="str">
        <f t="shared" si="11"/>
        <v>N/A</v>
      </c>
      <c r="BZ14" s="649"/>
      <c r="CA14" s="640" t="str">
        <f t="shared" si="12"/>
        <v>N/A</v>
      </c>
      <c r="CB14" s="648"/>
      <c r="CC14" s="82" t="str">
        <f t="shared" si="13"/>
        <v>N/A</v>
      </c>
      <c r="CD14" s="648"/>
      <c r="CE14" s="82" t="str">
        <f t="shared" si="14"/>
        <v>N/A</v>
      </c>
      <c r="CF14" s="648"/>
      <c r="CG14" s="82" t="str">
        <f t="shared" si="15"/>
        <v>N/A</v>
      </c>
      <c r="CH14" s="648"/>
      <c r="CI14" s="82" t="str">
        <f t="shared" si="16"/>
        <v>N/A</v>
      </c>
      <c r="CJ14" s="648"/>
      <c r="CK14" s="82" t="str">
        <f t="shared" si="17"/>
        <v>N/A</v>
      </c>
      <c r="CL14" s="648"/>
      <c r="CM14" s="82" t="str">
        <f t="shared" si="18"/>
        <v>N/A</v>
      </c>
      <c r="CN14" s="648"/>
      <c r="CO14" s="82" t="str">
        <f t="shared" si="19"/>
        <v>N/A</v>
      </c>
      <c r="CP14" s="648"/>
      <c r="CQ14" s="82" t="str">
        <f t="shared" si="20"/>
        <v>N/A</v>
      </c>
      <c r="CR14" s="648"/>
      <c r="CS14" s="82" t="str">
        <f t="shared" si="21"/>
        <v>N/A</v>
      </c>
      <c r="CT14" s="648"/>
      <c r="CU14" s="82" t="str">
        <f t="shared" si="22"/>
        <v>N/A</v>
      </c>
      <c r="CV14" s="648"/>
      <c r="CW14" s="637">
        <v>51</v>
      </c>
      <c r="CX14" s="637" t="s">
        <v>392</v>
      </c>
      <c r="CY14" s="637">
        <v>16710</v>
      </c>
      <c r="CZ14" s="637">
        <v>6859</v>
      </c>
      <c r="DA14" s="637">
        <v>0</v>
      </c>
      <c r="DB14" s="637">
        <v>7769</v>
      </c>
    </row>
    <row r="15" spans="1:106" s="266" customFormat="1" ht="20.25" customHeight="1">
      <c r="A15" s="259"/>
      <c r="B15" s="247">
        <v>126</v>
      </c>
      <c r="C15" s="269">
        <v>8</v>
      </c>
      <c r="D15" s="273" t="s">
        <v>333</v>
      </c>
      <c r="E15" s="269" t="s">
        <v>360</v>
      </c>
      <c r="F15" s="644"/>
      <c r="G15" s="625"/>
      <c r="H15" s="644"/>
      <c r="I15" s="625"/>
      <c r="J15" s="644"/>
      <c r="K15" s="625"/>
      <c r="L15" s="644"/>
      <c r="M15" s="625"/>
      <c r="N15" s="644"/>
      <c r="O15" s="625"/>
      <c r="P15" s="644"/>
      <c r="Q15" s="625"/>
      <c r="R15" s="644"/>
      <c r="S15" s="625"/>
      <c r="T15" s="644"/>
      <c r="U15" s="625"/>
      <c r="V15" s="644"/>
      <c r="W15" s="625"/>
      <c r="X15" s="644"/>
      <c r="Y15" s="625"/>
      <c r="Z15" s="644"/>
      <c r="AA15" s="625"/>
      <c r="AB15" s="644"/>
      <c r="AC15" s="625"/>
      <c r="AD15" s="644"/>
      <c r="AE15" s="625"/>
      <c r="AF15" s="644"/>
      <c r="AG15" s="625"/>
      <c r="AH15" s="644"/>
      <c r="AI15" s="625"/>
      <c r="AJ15" s="644"/>
      <c r="AK15" s="625"/>
      <c r="AL15" s="644"/>
      <c r="AM15" s="625"/>
      <c r="AN15" s="644"/>
      <c r="AO15" s="625"/>
      <c r="AP15" s="644"/>
      <c r="AQ15" s="625"/>
      <c r="AR15" s="644"/>
      <c r="AS15" s="625"/>
      <c r="AT15" s="644"/>
      <c r="AU15" s="625"/>
      <c r="AV15" s="644"/>
      <c r="AW15" s="625"/>
      <c r="AX15" s="644"/>
      <c r="AY15" s="625"/>
      <c r="BA15" s="261"/>
      <c r="BB15" s="101">
        <v>8</v>
      </c>
      <c r="BC15" s="274" t="s">
        <v>147</v>
      </c>
      <c r="BD15" s="85" t="s">
        <v>93</v>
      </c>
      <c r="BE15" s="270" t="str">
        <f t="shared" si="1"/>
        <v>N/A</v>
      </c>
      <c r="BF15" s="648" t="s">
        <v>97</v>
      </c>
      <c r="BG15" s="84" t="str">
        <f t="shared" si="2"/>
        <v>N/A</v>
      </c>
      <c r="BH15" s="647"/>
      <c r="BI15" s="82" t="str">
        <f t="shared" si="3"/>
        <v>N/A</v>
      </c>
      <c r="BJ15" s="648"/>
      <c r="BK15" s="85" t="str">
        <f t="shared" si="4"/>
        <v>N/A</v>
      </c>
      <c r="BL15" s="647"/>
      <c r="BM15" s="85" t="str">
        <f t="shared" si="5"/>
        <v>N/A</v>
      </c>
      <c r="BN15" s="647"/>
      <c r="BO15" s="85" t="str">
        <f t="shared" si="6"/>
        <v>N/A</v>
      </c>
      <c r="BP15" s="647"/>
      <c r="BQ15" s="85" t="str">
        <f t="shared" si="7"/>
        <v>N/A</v>
      </c>
      <c r="BR15" s="647"/>
      <c r="BS15" s="85" t="str">
        <f t="shared" si="8"/>
        <v>N/A</v>
      </c>
      <c r="BT15" s="647"/>
      <c r="BU15" s="85" t="str">
        <f t="shared" si="9"/>
        <v>N/A</v>
      </c>
      <c r="BV15" s="647"/>
      <c r="BW15" s="85" t="str">
        <f t="shared" si="10"/>
        <v>N/A</v>
      </c>
      <c r="BX15" s="647"/>
      <c r="BY15" s="85" t="str">
        <f t="shared" si="11"/>
        <v>N/A</v>
      </c>
      <c r="BZ15" s="647"/>
      <c r="CA15" s="85" t="str">
        <f t="shared" si="12"/>
        <v>N/A</v>
      </c>
      <c r="CB15" s="647"/>
      <c r="CC15" s="82" t="str">
        <f t="shared" si="13"/>
        <v>N/A</v>
      </c>
      <c r="CD15" s="648"/>
      <c r="CE15" s="82" t="str">
        <f t="shared" si="14"/>
        <v>N/A</v>
      </c>
      <c r="CF15" s="648"/>
      <c r="CG15" s="82" t="str">
        <f t="shared" si="15"/>
        <v>N/A</v>
      </c>
      <c r="CH15" s="648"/>
      <c r="CI15" s="82" t="str">
        <f t="shared" si="16"/>
        <v>N/A</v>
      </c>
      <c r="CJ15" s="648"/>
      <c r="CK15" s="82" t="str">
        <f t="shared" si="17"/>
        <v>N/A</v>
      </c>
      <c r="CL15" s="648"/>
      <c r="CM15" s="82" t="str">
        <f t="shared" si="18"/>
        <v>N/A</v>
      </c>
      <c r="CN15" s="648"/>
      <c r="CO15" s="82" t="str">
        <f t="shared" si="19"/>
        <v>N/A</v>
      </c>
      <c r="CP15" s="648"/>
      <c r="CQ15" s="82" t="str">
        <f t="shared" si="20"/>
        <v>N/A</v>
      </c>
      <c r="CR15" s="648"/>
      <c r="CS15" s="82" t="str">
        <f t="shared" si="21"/>
        <v>N/A</v>
      </c>
      <c r="CT15" s="648"/>
      <c r="CU15" s="82" t="str">
        <f t="shared" si="22"/>
        <v>N/A</v>
      </c>
      <c r="CV15" s="648"/>
      <c r="CW15" s="637">
        <v>31</v>
      </c>
      <c r="CX15" s="637" t="s">
        <v>393</v>
      </c>
      <c r="CY15" s="637">
        <v>38710</v>
      </c>
      <c r="CZ15" s="637">
        <v>8115</v>
      </c>
      <c r="DA15" s="637">
        <v>197600</v>
      </c>
      <c r="DB15" s="637">
        <v>34680</v>
      </c>
    </row>
    <row r="16" spans="1:106" s="266" customFormat="1" ht="34.5" customHeight="1">
      <c r="A16" s="259"/>
      <c r="B16" s="247">
        <v>128</v>
      </c>
      <c r="C16" s="275">
        <v>9</v>
      </c>
      <c r="D16" s="276" t="s">
        <v>100</v>
      </c>
      <c r="E16" s="275" t="s">
        <v>360</v>
      </c>
      <c r="F16" s="645"/>
      <c r="G16" s="626"/>
      <c r="H16" s="645"/>
      <c r="I16" s="626"/>
      <c r="J16" s="645"/>
      <c r="K16" s="626"/>
      <c r="L16" s="645"/>
      <c r="M16" s="626"/>
      <c r="N16" s="645"/>
      <c r="O16" s="626"/>
      <c r="P16" s="645"/>
      <c r="Q16" s="626"/>
      <c r="R16" s="645"/>
      <c r="S16" s="626"/>
      <c r="T16" s="645"/>
      <c r="U16" s="626"/>
      <c r="V16" s="645"/>
      <c r="W16" s="626"/>
      <c r="X16" s="645"/>
      <c r="Y16" s="626"/>
      <c r="Z16" s="645"/>
      <c r="AA16" s="626"/>
      <c r="AB16" s="645"/>
      <c r="AC16" s="626"/>
      <c r="AD16" s="645"/>
      <c r="AE16" s="626"/>
      <c r="AF16" s="645"/>
      <c r="AG16" s="626"/>
      <c r="AH16" s="645"/>
      <c r="AI16" s="626"/>
      <c r="AJ16" s="645"/>
      <c r="AK16" s="626"/>
      <c r="AL16" s="645"/>
      <c r="AM16" s="626"/>
      <c r="AN16" s="645"/>
      <c r="AO16" s="626"/>
      <c r="AP16" s="645"/>
      <c r="AQ16" s="626"/>
      <c r="AR16" s="645"/>
      <c r="AS16" s="626"/>
      <c r="AT16" s="645"/>
      <c r="AU16" s="626"/>
      <c r="AV16" s="645"/>
      <c r="AW16" s="626"/>
      <c r="AX16" s="645"/>
      <c r="AY16" s="626"/>
      <c r="BA16" s="261"/>
      <c r="BB16" s="278">
        <v>9</v>
      </c>
      <c r="BC16" s="274" t="s">
        <v>100</v>
      </c>
      <c r="BD16" s="85" t="s">
        <v>93</v>
      </c>
      <c r="BE16" s="270" t="str">
        <f t="shared" si="1"/>
        <v>N/A</v>
      </c>
      <c r="BF16" s="648" t="s">
        <v>97</v>
      </c>
      <c r="BG16" s="278" t="str">
        <f t="shared" si="2"/>
        <v>N/A</v>
      </c>
      <c r="BH16" s="649"/>
      <c r="BI16" s="82" t="str">
        <f t="shared" si="3"/>
        <v>N/A</v>
      </c>
      <c r="BJ16" s="648"/>
      <c r="BK16" s="640" t="str">
        <f t="shared" si="4"/>
        <v>N/A</v>
      </c>
      <c r="BL16" s="649"/>
      <c r="BM16" s="640" t="str">
        <f t="shared" si="5"/>
        <v>N/A</v>
      </c>
      <c r="BN16" s="649"/>
      <c r="BO16" s="640" t="str">
        <f t="shared" si="6"/>
        <v>N/A</v>
      </c>
      <c r="BP16" s="649"/>
      <c r="BQ16" s="640" t="str">
        <f t="shared" si="7"/>
        <v>N/A</v>
      </c>
      <c r="BR16" s="649"/>
      <c r="BS16" s="640" t="str">
        <f t="shared" si="8"/>
        <v>N/A</v>
      </c>
      <c r="BT16" s="649"/>
      <c r="BU16" s="640" t="str">
        <f t="shared" si="9"/>
        <v>N/A</v>
      </c>
      <c r="BV16" s="649"/>
      <c r="BW16" s="640" t="str">
        <f t="shared" si="10"/>
        <v>N/A</v>
      </c>
      <c r="BX16" s="649"/>
      <c r="BY16" s="640" t="str">
        <f t="shared" si="11"/>
        <v>N/A</v>
      </c>
      <c r="BZ16" s="649"/>
      <c r="CA16" s="640" t="str">
        <f t="shared" si="12"/>
        <v>N/A</v>
      </c>
      <c r="CB16" s="649"/>
      <c r="CC16" s="82" t="str">
        <f t="shared" si="13"/>
        <v>N/A</v>
      </c>
      <c r="CD16" s="648"/>
      <c r="CE16" s="82" t="str">
        <f t="shared" si="14"/>
        <v>N/A</v>
      </c>
      <c r="CF16" s="648"/>
      <c r="CG16" s="82" t="str">
        <f t="shared" si="15"/>
        <v>N/A</v>
      </c>
      <c r="CH16" s="648"/>
      <c r="CI16" s="82" t="str">
        <f t="shared" si="16"/>
        <v>N/A</v>
      </c>
      <c r="CJ16" s="648"/>
      <c r="CK16" s="82" t="str">
        <f t="shared" si="17"/>
        <v>N/A</v>
      </c>
      <c r="CL16" s="648"/>
      <c r="CM16" s="82" t="str">
        <f t="shared" si="18"/>
        <v>N/A</v>
      </c>
      <c r="CN16" s="648"/>
      <c r="CO16" s="82" t="str">
        <f t="shared" si="19"/>
        <v>N/A</v>
      </c>
      <c r="CP16" s="648"/>
      <c r="CQ16" s="82" t="str">
        <f t="shared" si="20"/>
        <v>N/A</v>
      </c>
      <c r="CR16" s="648"/>
      <c r="CS16" s="82" t="str">
        <f t="shared" si="21"/>
        <v>N/A</v>
      </c>
      <c r="CT16" s="648"/>
      <c r="CU16" s="82" t="str">
        <f t="shared" si="22"/>
        <v>N/A</v>
      </c>
      <c r="CV16" s="648"/>
      <c r="CW16" s="637">
        <v>44</v>
      </c>
      <c r="CX16" s="637" t="s">
        <v>394</v>
      </c>
      <c r="CY16" s="637">
        <v>17930</v>
      </c>
      <c r="CZ16" s="637">
        <v>700</v>
      </c>
      <c r="DA16" s="637">
        <v>0</v>
      </c>
      <c r="DB16" s="637">
        <v>700</v>
      </c>
    </row>
    <row r="17" spans="1:106" s="266" customFormat="1" ht="30" customHeight="1">
      <c r="A17" s="246"/>
      <c r="B17" s="247"/>
      <c r="C17" s="279"/>
      <c r="D17" s="280"/>
      <c r="E17" s="279"/>
      <c r="F17" s="251"/>
      <c r="G17" s="279"/>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2"/>
      <c r="BB17" s="99"/>
      <c r="BC17" s="281"/>
      <c r="BD17" s="83"/>
      <c r="BE17" s="99"/>
      <c r="BF17" s="650"/>
      <c r="BG17" s="99"/>
      <c r="BH17" s="650"/>
      <c r="BI17" s="83"/>
      <c r="BJ17" s="650"/>
      <c r="BK17" s="650"/>
      <c r="BL17" s="650"/>
      <c r="BM17" s="650"/>
      <c r="BN17" s="650"/>
      <c r="BO17" s="650"/>
      <c r="BP17" s="650"/>
      <c r="BQ17" s="83"/>
      <c r="BR17" s="650"/>
      <c r="BS17" s="83"/>
      <c r="BT17" s="650"/>
      <c r="BU17" s="83"/>
      <c r="BV17" s="650"/>
      <c r="BW17" s="83"/>
      <c r="BX17" s="650"/>
      <c r="BY17" s="83"/>
      <c r="BZ17" s="650"/>
      <c r="CA17" s="83"/>
      <c r="CB17" s="650"/>
      <c r="CC17" s="83"/>
      <c r="CD17" s="650"/>
      <c r="CE17" s="83"/>
      <c r="CF17" s="650"/>
      <c r="CG17" s="83"/>
      <c r="CH17" s="650"/>
      <c r="CI17" s="83"/>
      <c r="CJ17" s="650"/>
      <c r="CK17" s="83"/>
      <c r="CL17" s="650"/>
      <c r="CM17" s="83"/>
      <c r="CN17" s="650"/>
      <c r="CO17" s="83"/>
      <c r="CP17" s="650"/>
      <c r="CQ17" s="83"/>
      <c r="CR17" s="650"/>
      <c r="CS17" s="83"/>
      <c r="CT17" s="650"/>
      <c r="CU17" s="83"/>
      <c r="CV17" s="650"/>
      <c r="CW17" s="637">
        <v>48</v>
      </c>
      <c r="CX17" s="637" t="s">
        <v>395</v>
      </c>
      <c r="CY17" s="637">
        <v>63.9</v>
      </c>
      <c r="CZ17" s="637">
        <v>4</v>
      </c>
      <c r="DA17" s="637">
        <v>112</v>
      </c>
      <c r="DB17" s="637">
        <v>116</v>
      </c>
    </row>
    <row r="18" spans="1:106" s="251" customFormat="1" ht="6.75" customHeight="1">
      <c r="A18" s="189"/>
      <c r="B18" s="247"/>
      <c r="C18" s="202"/>
      <c r="D18" s="227"/>
      <c r="E18" s="282"/>
      <c r="F18" s="202"/>
      <c r="G18" s="230"/>
      <c r="H18" s="231"/>
      <c r="I18" s="232"/>
      <c r="J18" s="231"/>
      <c r="K18" s="232"/>
      <c r="L18" s="231"/>
      <c r="M18" s="232"/>
      <c r="N18" s="231"/>
      <c r="O18" s="232"/>
      <c r="P18" s="231"/>
      <c r="Q18" s="232"/>
      <c r="R18" s="231"/>
      <c r="S18" s="232"/>
      <c r="T18" s="231"/>
      <c r="U18" s="232"/>
      <c r="V18" s="231"/>
      <c r="W18" s="230"/>
      <c r="X18" s="231"/>
      <c r="Y18" s="230"/>
      <c r="Z18" s="231"/>
      <c r="AA18" s="230"/>
      <c r="AB18" s="231"/>
      <c r="AC18" s="230"/>
      <c r="AD18" s="231"/>
      <c r="AE18" s="230"/>
      <c r="AF18" s="231"/>
      <c r="AG18" s="230"/>
      <c r="AH18" s="231"/>
      <c r="AI18" s="232"/>
      <c r="AJ18" s="231"/>
      <c r="AK18" s="230"/>
      <c r="AL18" s="231"/>
      <c r="AM18" s="230"/>
      <c r="AN18" s="231"/>
      <c r="AO18" s="230"/>
      <c r="AP18" s="230"/>
      <c r="AQ18" s="230"/>
      <c r="AR18" s="230"/>
      <c r="AS18" s="230"/>
      <c r="AT18" s="231"/>
      <c r="AU18" s="229"/>
      <c r="AV18" s="202"/>
      <c r="AW18" s="202"/>
      <c r="AX18" s="202"/>
      <c r="AY18" s="202"/>
      <c r="AZ18" s="202"/>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637">
        <v>50</v>
      </c>
      <c r="CX18" s="637" t="s">
        <v>396</v>
      </c>
      <c r="CY18" s="637">
        <v>395800</v>
      </c>
      <c r="CZ18" s="637">
        <v>105000</v>
      </c>
      <c r="DA18" s="637">
        <v>1122032</v>
      </c>
      <c r="DB18" s="637">
        <v>1227000</v>
      </c>
    </row>
    <row r="19" spans="3:106" ht="10.5" customHeight="1">
      <c r="C19" s="283" t="s">
        <v>351</v>
      </c>
      <c r="D19" s="284"/>
      <c r="E19" s="285"/>
      <c r="F19" s="283"/>
      <c r="G19" s="234"/>
      <c r="H19" s="286"/>
      <c r="I19" s="287"/>
      <c r="J19" s="286"/>
      <c r="K19" s="287"/>
      <c r="L19" s="286"/>
      <c r="M19" s="287"/>
      <c r="N19" s="286"/>
      <c r="O19" s="287"/>
      <c r="P19" s="286"/>
      <c r="Q19" s="287"/>
      <c r="R19" s="286"/>
      <c r="S19" s="287"/>
      <c r="T19" s="286"/>
      <c r="U19" s="287"/>
      <c r="V19" s="286"/>
      <c r="W19" s="234"/>
      <c r="X19" s="286"/>
      <c r="Y19" s="234"/>
      <c r="Z19" s="286"/>
      <c r="AA19" s="234"/>
      <c r="AB19" s="286"/>
      <c r="AC19" s="234"/>
      <c r="AD19" s="286"/>
      <c r="AE19" s="234"/>
      <c r="AF19" s="286"/>
      <c r="AG19" s="234"/>
      <c r="AH19" s="286"/>
      <c r="AI19" s="287"/>
      <c r="AJ19" s="286"/>
      <c r="AK19" s="234"/>
      <c r="AL19" s="286"/>
      <c r="AM19" s="234"/>
      <c r="AN19" s="286"/>
      <c r="AO19" s="234"/>
      <c r="AP19" s="234"/>
      <c r="AQ19" s="234"/>
      <c r="AR19" s="234"/>
      <c r="AS19" s="234"/>
      <c r="AT19" s="286"/>
      <c r="AU19" s="210"/>
      <c r="AV19" s="211"/>
      <c r="AW19" s="211"/>
      <c r="AX19" s="211"/>
      <c r="AY19" s="211"/>
      <c r="AZ19" s="211"/>
      <c r="BB19" s="238" t="s">
        <v>88</v>
      </c>
      <c r="CV19" s="200"/>
      <c r="CW19" s="637">
        <v>52</v>
      </c>
      <c r="CX19" s="637" t="s">
        <v>397</v>
      </c>
      <c r="CY19" s="637">
        <v>611.5</v>
      </c>
      <c r="CZ19" s="637">
        <v>80</v>
      </c>
      <c r="DA19" s="637">
        <v>0</v>
      </c>
      <c r="DB19" s="637">
        <v>80</v>
      </c>
    </row>
    <row r="20" spans="3:106" ht="15.75" customHeight="1">
      <c r="C20" s="288" t="s">
        <v>167</v>
      </c>
      <c r="D20" s="744" t="s">
        <v>317</v>
      </c>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c r="AM20" s="744"/>
      <c r="AN20" s="744"/>
      <c r="AO20" s="744"/>
      <c r="AP20" s="744"/>
      <c r="AQ20" s="744"/>
      <c r="AR20" s="744"/>
      <c r="AS20" s="744"/>
      <c r="AT20" s="744"/>
      <c r="AU20" s="744"/>
      <c r="AV20" s="744"/>
      <c r="AW20" s="744"/>
      <c r="AX20" s="744"/>
      <c r="AY20" s="744"/>
      <c r="AZ20" s="744"/>
      <c r="BB20" s="242" t="s">
        <v>347</v>
      </c>
      <c r="BC20" s="242" t="s">
        <v>349</v>
      </c>
      <c r="BD20" s="243" t="s">
        <v>352</v>
      </c>
      <c r="BE20" s="242" t="s">
        <v>376</v>
      </c>
      <c r="BF20" s="244">
        <v>1990</v>
      </c>
      <c r="BG20" s="243">
        <v>1995</v>
      </c>
      <c r="BH20" s="244"/>
      <c r="BI20" s="243">
        <v>1996</v>
      </c>
      <c r="BJ20" s="651"/>
      <c r="BK20" s="652">
        <v>1997</v>
      </c>
      <c r="BL20" s="651"/>
      <c r="BM20" s="652">
        <v>1998</v>
      </c>
      <c r="BN20" s="651"/>
      <c r="BO20" s="652">
        <v>1999</v>
      </c>
      <c r="BP20" s="651"/>
      <c r="BQ20" s="652">
        <v>2000</v>
      </c>
      <c r="BR20" s="651"/>
      <c r="BS20" s="652">
        <v>2001</v>
      </c>
      <c r="BT20" s="651"/>
      <c r="BU20" s="652">
        <v>2002</v>
      </c>
      <c r="BV20" s="651"/>
      <c r="BW20" s="652">
        <v>2003</v>
      </c>
      <c r="BX20" s="651"/>
      <c r="BY20" s="652">
        <v>2004</v>
      </c>
      <c r="BZ20" s="651"/>
      <c r="CA20" s="652">
        <v>2005</v>
      </c>
      <c r="CB20" s="651"/>
      <c r="CC20" s="652">
        <v>2006</v>
      </c>
      <c r="CD20" s="651"/>
      <c r="CE20" s="652">
        <v>2007</v>
      </c>
      <c r="CF20" s="651"/>
      <c r="CG20" s="652">
        <v>2008</v>
      </c>
      <c r="CH20" s="651"/>
      <c r="CI20" s="652">
        <v>2009</v>
      </c>
      <c r="CJ20" s="651"/>
      <c r="CK20" s="652">
        <v>2010</v>
      </c>
      <c r="CL20" s="651"/>
      <c r="CM20" s="652">
        <v>2011</v>
      </c>
      <c r="CN20" s="651"/>
      <c r="CO20" s="652">
        <v>2012</v>
      </c>
      <c r="CP20" s="653"/>
      <c r="CQ20" s="652">
        <v>2013</v>
      </c>
      <c r="CR20" s="651"/>
      <c r="CS20" s="652">
        <v>2014</v>
      </c>
      <c r="CT20" s="651"/>
      <c r="CU20" s="652">
        <v>2015</v>
      </c>
      <c r="CV20" s="653"/>
      <c r="CW20" s="637">
        <v>112</v>
      </c>
      <c r="CX20" s="637" t="s">
        <v>398</v>
      </c>
      <c r="CY20" s="637">
        <v>128300</v>
      </c>
      <c r="CZ20" s="637">
        <v>34000</v>
      </c>
      <c r="DA20" s="637">
        <v>23900</v>
      </c>
      <c r="DB20" s="637">
        <v>57900</v>
      </c>
    </row>
    <row r="21" spans="3:106" ht="15" customHeight="1">
      <c r="C21" s="288" t="s">
        <v>167</v>
      </c>
      <c r="D21" s="744" t="s">
        <v>292</v>
      </c>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c r="AQ21" s="744"/>
      <c r="AR21" s="744"/>
      <c r="AS21" s="744"/>
      <c r="AT21" s="744"/>
      <c r="AU21" s="744"/>
      <c r="AV21" s="744"/>
      <c r="AW21" s="744"/>
      <c r="AX21" s="744"/>
      <c r="AY21" s="744"/>
      <c r="AZ21" s="744"/>
      <c r="BB21" s="101">
        <v>3</v>
      </c>
      <c r="BC21" s="258" t="s">
        <v>23</v>
      </c>
      <c r="BD21" s="84" t="s">
        <v>360</v>
      </c>
      <c r="BE21" s="84">
        <f>F10</f>
        <v>0</v>
      </c>
      <c r="BF21" s="84">
        <f>H10</f>
        <v>0</v>
      </c>
      <c r="BG21" s="84">
        <f>J10</f>
        <v>0</v>
      </c>
      <c r="BH21" s="84"/>
      <c r="BI21" s="84">
        <f>L10</f>
        <v>0</v>
      </c>
      <c r="BJ21" s="84"/>
      <c r="BK21" s="84">
        <f>N10</f>
        <v>0</v>
      </c>
      <c r="BL21" s="84"/>
      <c r="BM21" s="84">
        <f>P10</f>
        <v>0</v>
      </c>
      <c r="BN21" s="84"/>
      <c r="BO21" s="84">
        <f>R10</f>
        <v>0</v>
      </c>
      <c r="BP21" s="84"/>
      <c r="BQ21" s="84">
        <f>T10</f>
        <v>0</v>
      </c>
      <c r="BR21" s="84"/>
      <c r="BS21" s="84">
        <f>V10</f>
        <v>0</v>
      </c>
      <c r="BT21" s="84"/>
      <c r="BU21" s="84">
        <f>X10</f>
        <v>0</v>
      </c>
      <c r="BV21" s="84"/>
      <c r="BW21" s="84">
        <f>Z10</f>
        <v>0</v>
      </c>
      <c r="BX21" s="84"/>
      <c r="BY21" s="84">
        <f>AB10</f>
        <v>0</v>
      </c>
      <c r="BZ21" s="84"/>
      <c r="CA21" s="84">
        <f>AD10</f>
        <v>0</v>
      </c>
      <c r="CB21" s="84"/>
      <c r="CC21" s="84">
        <f>AF10</f>
        <v>0</v>
      </c>
      <c r="CD21" s="84"/>
      <c r="CE21" s="84">
        <f>AH10</f>
        <v>0</v>
      </c>
      <c r="CF21" s="84"/>
      <c r="CG21" s="84">
        <f>AJ10</f>
        <v>0</v>
      </c>
      <c r="CH21" s="84"/>
      <c r="CI21" s="84">
        <f>AL10</f>
        <v>0</v>
      </c>
      <c r="CJ21" s="84"/>
      <c r="CK21" s="84">
        <f>AN10</f>
        <v>0</v>
      </c>
      <c r="CL21" s="84"/>
      <c r="CM21" s="84">
        <f>AP10</f>
        <v>0</v>
      </c>
      <c r="CN21" s="84"/>
      <c r="CO21" s="84">
        <f>AR10</f>
        <v>0</v>
      </c>
      <c r="CP21" s="84"/>
      <c r="CQ21" s="84">
        <f>AT10</f>
        <v>0</v>
      </c>
      <c r="CR21" s="647"/>
      <c r="CS21" s="84">
        <f>AV10</f>
        <v>0</v>
      </c>
      <c r="CT21" s="84"/>
      <c r="CU21" s="84">
        <f>AX10</f>
        <v>0</v>
      </c>
      <c r="CV21" s="84"/>
      <c r="CW21" s="637">
        <v>84</v>
      </c>
      <c r="CX21" s="637" t="s">
        <v>399</v>
      </c>
      <c r="CY21" s="637">
        <v>39160</v>
      </c>
      <c r="CZ21" s="637">
        <v>15260</v>
      </c>
      <c r="DA21" s="637">
        <v>6042</v>
      </c>
      <c r="DB21" s="637">
        <v>21730</v>
      </c>
    </row>
    <row r="22" spans="1:107" ht="25.5" customHeight="1">
      <c r="A22" s="290"/>
      <c r="C22" s="288" t="s">
        <v>167</v>
      </c>
      <c r="D22" s="740" t="s">
        <v>168</v>
      </c>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0"/>
      <c r="AY22" s="740"/>
      <c r="AZ22" s="740"/>
      <c r="BA22" s="292"/>
      <c r="BB22" s="293">
        <v>10</v>
      </c>
      <c r="BC22" s="294" t="s">
        <v>44</v>
      </c>
      <c r="BD22" s="84" t="s">
        <v>360</v>
      </c>
      <c r="BE22" s="84">
        <f>(F8-F9)</f>
        <v>0</v>
      </c>
      <c r="BF22" s="84">
        <f>(H8-H9)</f>
        <v>0</v>
      </c>
      <c r="BG22" s="84">
        <f>(J8-J9)</f>
        <v>0</v>
      </c>
      <c r="BH22" s="84"/>
      <c r="BI22" s="84">
        <f>(L8-L9)</f>
        <v>0</v>
      </c>
      <c r="BJ22" s="84"/>
      <c r="BK22" s="84">
        <f>(N8-N9)</f>
        <v>0</v>
      </c>
      <c r="BL22" s="84"/>
      <c r="BM22" s="84">
        <f>(P8-P9)</f>
        <v>0</v>
      </c>
      <c r="BN22" s="84"/>
      <c r="BO22" s="84">
        <f>(R8-R9)</f>
        <v>0</v>
      </c>
      <c r="BP22" s="84"/>
      <c r="BQ22" s="84">
        <f>(T8-T9)</f>
        <v>0</v>
      </c>
      <c r="BR22" s="84"/>
      <c r="BS22" s="84">
        <f>(V8-V9)</f>
        <v>0</v>
      </c>
      <c r="BT22" s="84"/>
      <c r="BU22" s="84">
        <f>(X8-X9)</f>
        <v>0</v>
      </c>
      <c r="BV22" s="84"/>
      <c r="BW22" s="84">
        <f>(Z8-Z9)</f>
        <v>0</v>
      </c>
      <c r="BX22" s="84"/>
      <c r="BY22" s="84">
        <f>(AB8-AB9)</f>
        <v>0</v>
      </c>
      <c r="BZ22" s="84"/>
      <c r="CA22" s="84">
        <f>(AD8-AD9)</f>
        <v>0</v>
      </c>
      <c r="CB22" s="84"/>
      <c r="CC22" s="84">
        <f>(AF8-AF9)</f>
        <v>0</v>
      </c>
      <c r="CD22" s="84"/>
      <c r="CE22" s="84">
        <f>(AH8-AH9)</f>
        <v>0</v>
      </c>
      <c r="CF22" s="84"/>
      <c r="CG22" s="84">
        <f>(AJ8-AJ9)</f>
        <v>0</v>
      </c>
      <c r="CH22" s="84"/>
      <c r="CI22" s="84">
        <f>(AL8-AL9)</f>
        <v>0</v>
      </c>
      <c r="CJ22" s="84"/>
      <c r="CK22" s="84">
        <f>(AN8-AN9)</f>
        <v>0</v>
      </c>
      <c r="CL22" s="84"/>
      <c r="CM22" s="84">
        <f>(AP8-AP9)</f>
        <v>0</v>
      </c>
      <c r="CN22" s="84"/>
      <c r="CO22" s="84">
        <f>(AR8-AR9)</f>
        <v>0</v>
      </c>
      <c r="CP22" s="84"/>
      <c r="CQ22" s="84">
        <f>(AT8-AT9)</f>
        <v>0</v>
      </c>
      <c r="CR22" s="647"/>
      <c r="CS22" s="84">
        <f>(AV8-AV9)</f>
        <v>0</v>
      </c>
      <c r="CT22" s="84"/>
      <c r="CU22" s="84">
        <f>(AX8-AX9)</f>
        <v>0</v>
      </c>
      <c r="CV22" s="84"/>
      <c r="CW22" s="637">
        <v>204</v>
      </c>
      <c r="CX22" s="637" t="s">
        <v>400</v>
      </c>
      <c r="CY22" s="637">
        <v>119200</v>
      </c>
      <c r="CZ22" s="637">
        <v>10300</v>
      </c>
      <c r="DA22" s="637">
        <v>0</v>
      </c>
      <c r="DB22" s="637">
        <v>26390</v>
      </c>
      <c r="DC22" s="295"/>
    </row>
    <row r="23" spans="1:107" ht="25.5" customHeight="1">
      <c r="A23" s="290"/>
      <c r="B23" s="290"/>
      <c r="C23" s="288" t="s">
        <v>167</v>
      </c>
      <c r="D23" s="744" t="s">
        <v>129</v>
      </c>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296"/>
      <c r="BB23" s="297" t="s">
        <v>203</v>
      </c>
      <c r="BC23" s="294" t="s">
        <v>264</v>
      </c>
      <c r="BD23" s="84"/>
      <c r="BE23" s="84" t="str">
        <f>IF(OR(ISBLANK(F8),ISBLANK(F9),ISBLANK(F10)),"N/A",IF((BE21=BE22),"ok","&lt;&gt;"))</f>
        <v>N/A</v>
      </c>
      <c r="BF23" s="84" t="str">
        <f>IF(OR(ISBLANK(H8),ISBLANK(H9),ISBLANK(H10)),"N/A",IF((BF21=BF22),"ok","&lt;&gt;"))</f>
        <v>N/A</v>
      </c>
      <c r="BG23" s="84" t="str">
        <f>IF(OR(ISBLANK(P8),ISBLANK(P9),ISBLANK(P10)),"N/A",IF((BG21=BG22),"ok","&lt;&gt;"))</f>
        <v>N/A</v>
      </c>
      <c r="BH23" s="84"/>
      <c r="BI23" s="84" t="str">
        <f>IF(OR(ISBLANK(L8),ISBLANK(L9),ISBLANK(L10)),"N/A",IF((BI21=BI22),"ok","&lt;&gt;"))</f>
        <v>N/A</v>
      </c>
      <c r="BJ23" s="84"/>
      <c r="BK23" s="84" t="str">
        <f>IF(OR(ISBLANK(Q8),ISBLANK(Q9),ISBLANK(Q10)),"N/A",IF((BK21=BK22),"ok","&lt;&gt;"))</f>
        <v>N/A</v>
      </c>
      <c r="BL23" s="84"/>
      <c r="BM23" s="84" t="str">
        <f>IF(OR(ISBLANK(S8),ISBLANK(S9),ISBLANK(S10)),"N/A",IF((BM21=BM22),"ok","&lt;&gt;"))</f>
        <v>N/A</v>
      </c>
      <c r="BN23" s="84"/>
      <c r="BO23" s="84" t="str">
        <f>IF(OR(ISBLANK(R8),ISBLANK(R9),ISBLANK(R10)),"N/A",IF((BO21=BO22),"ok","&lt;&gt;"))</f>
        <v>N/A</v>
      </c>
      <c r="BP23" s="84"/>
      <c r="BQ23" s="84" t="str">
        <f>IF(OR(ISBLANK(T8),ISBLANK(T9),ISBLANK(T10)),"N/A",IF((BQ21=BQ22),"ok","&lt;&gt;"))</f>
        <v>N/A</v>
      </c>
      <c r="BR23" s="84"/>
      <c r="BS23" s="84" t="str">
        <f>IF(OR(ISBLANK(V8),ISBLANK(V9),ISBLANK(V10)),"N/A",IF((BS21=BS22),"ok","&lt;&gt;"))</f>
        <v>N/A</v>
      </c>
      <c r="BT23" s="84"/>
      <c r="BU23" s="84" t="str">
        <f>IF(OR(ISBLANK(X8),ISBLANK(X9),ISBLANK(X10)),"N/A",IF((BU21=BU22),"ok","&lt;&gt;"))</f>
        <v>N/A</v>
      </c>
      <c r="BV23" s="84"/>
      <c r="BW23" s="84" t="str">
        <f>IF(OR(ISBLANK(Z8),ISBLANK(Z9),ISBLANK(Z10)),"N/A",IF((BW21=BW22),"ok","&lt;&gt;"))</f>
        <v>N/A</v>
      </c>
      <c r="BX23" s="84"/>
      <c r="BY23" s="84" t="str">
        <f>IF(OR(ISBLANK(AB8),ISBLANK(AB9),ISBLANK(AB10)),"N/A",IF((BY21=BY22),"ok","&lt;&gt;"))</f>
        <v>N/A</v>
      </c>
      <c r="BZ23" s="84"/>
      <c r="CA23" s="84" t="str">
        <f>IF(OR(ISBLANK(AD8),ISBLANK(AD9),ISBLANK(AD10)),"N/A",IF((CA21=CA22),"ok","&lt;&gt;"))</f>
        <v>N/A</v>
      </c>
      <c r="CB23" s="84"/>
      <c r="CC23" s="84" t="str">
        <f>IF(OR(ISBLANK(AF8),ISBLANK(AF9),ISBLANK(AF10)),"N/A",IF((CC21=CC22),"ok","&lt;&gt;"))</f>
        <v>N/A</v>
      </c>
      <c r="CD23" s="84"/>
      <c r="CE23" s="84" t="str">
        <f>IF(OR(ISBLANK(AH8),ISBLANK(AH9),ISBLANK(AH10)),"N/A",IF((CE21=CE22),"ok","&lt;&gt;"))</f>
        <v>N/A</v>
      </c>
      <c r="CF23" s="84"/>
      <c r="CG23" s="84" t="str">
        <f>IF(OR(ISBLANK(AJ8),ISBLANK(AJ9),ISBLANK(AJ10)),"N/A",IF((CG21=CG22),"ok","&lt;&gt;"))</f>
        <v>N/A</v>
      </c>
      <c r="CH23" s="84"/>
      <c r="CI23" s="84" t="str">
        <f>IF(OR(ISBLANK(AL8),ISBLANK(AL9),ISBLANK(AL10)),"N/A",IF((CI21=CI22),"ok","&lt;&gt;"))</f>
        <v>N/A</v>
      </c>
      <c r="CJ23" s="84"/>
      <c r="CK23" s="84" t="str">
        <f>IF(OR(ISBLANK(AN8),ISBLANK(AN9),ISBLANK(AN10)),"N/A",IF((CK21=CK22),"ok","&lt;&gt;"))</f>
        <v>N/A</v>
      </c>
      <c r="CL23" s="84"/>
      <c r="CM23" s="84" t="str">
        <f>IF(OR(ISBLANK(AP8),ISBLANK(AP9),ISBLANK(AP10)),"N/A",IF((CM21=CM22),"ok","&lt;&gt;"))</f>
        <v>N/A</v>
      </c>
      <c r="CN23" s="84"/>
      <c r="CO23" s="84" t="str">
        <f>IF(OR(ISBLANK(AR8),ISBLANK(AR9),ISBLANK(AR10)),"N/A",IF((CO21=CO22),"ok","&lt;&gt;"))</f>
        <v>N/A</v>
      </c>
      <c r="CP23" s="84"/>
      <c r="CQ23" s="84" t="str">
        <f>IF(OR(ISBLANK(AT8),ISBLANK(AT9),ISBLANK(AT10)),"N/A",IF((CQ21=CQ22),"ok","&lt;&gt;"))</f>
        <v>N/A</v>
      </c>
      <c r="CR23" s="647"/>
      <c r="CS23" s="84" t="str">
        <f>IF(OR(ISBLANK(AV8),ISBLANK(AV9),ISBLANK(AV10)),"N/A",IF((CS21=CS22),"ok","&lt;&gt;"))</f>
        <v>N/A</v>
      </c>
      <c r="CT23" s="84"/>
      <c r="CU23" s="84" t="str">
        <f>IF(OR(ISBLANK(AX8),ISBLANK(AX9),ISBLANK(AX10)),"N/A",IF((CU21=CU22),"ok","&lt;&gt;"))</f>
        <v>N/A</v>
      </c>
      <c r="CV23" s="84"/>
      <c r="CW23" s="637">
        <v>60</v>
      </c>
      <c r="CX23" s="637" t="s">
        <v>401</v>
      </c>
      <c r="CY23" s="637"/>
      <c r="CZ23" s="637"/>
      <c r="DA23" s="637"/>
      <c r="DB23" s="637"/>
      <c r="DC23" s="295"/>
    </row>
    <row r="24" spans="1:107" ht="22.5" customHeight="1">
      <c r="A24" s="290"/>
      <c r="B24" s="290"/>
      <c r="C24" s="288" t="s">
        <v>167</v>
      </c>
      <c r="D24" s="765" t="s">
        <v>597</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5"/>
      <c r="AY24" s="765"/>
      <c r="AZ24" s="765"/>
      <c r="BA24" s="292"/>
      <c r="BB24" s="101">
        <v>5</v>
      </c>
      <c r="BC24" s="267" t="s">
        <v>22</v>
      </c>
      <c r="BD24" s="84" t="s">
        <v>360</v>
      </c>
      <c r="BE24" s="84">
        <f>F12</f>
        <v>0</v>
      </c>
      <c r="BF24" s="84">
        <f>H12</f>
        <v>0</v>
      </c>
      <c r="BG24" s="84">
        <f>P12</f>
        <v>0</v>
      </c>
      <c r="BH24" s="84"/>
      <c r="BI24" s="84">
        <f>L12</f>
        <v>0</v>
      </c>
      <c r="BJ24" s="84"/>
      <c r="BK24" s="84">
        <f>Q12</f>
        <v>0</v>
      </c>
      <c r="BL24" s="84"/>
      <c r="BM24" s="84">
        <f>S12</f>
        <v>0</v>
      </c>
      <c r="BN24" s="84"/>
      <c r="BO24" s="84">
        <f>R12</f>
        <v>0</v>
      </c>
      <c r="BP24" s="84"/>
      <c r="BQ24" s="84">
        <f>T12</f>
        <v>0</v>
      </c>
      <c r="BR24" s="84"/>
      <c r="BS24" s="84">
        <f>V12</f>
        <v>0</v>
      </c>
      <c r="BT24" s="84"/>
      <c r="BU24" s="84">
        <f>X12</f>
        <v>0</v>
      </c>
      <c r="BV24" s="84"/>
      <c r="BW24" s="84">
        <f>Z12</f>
        <v>0</v>
      </c>
      <c r="BX24" s="84"/>
      <c r="BY24" s="84">
        <f>AB12</f>
        <v>0</v>
      </c>
      <c r="BZ24" s="84"/>
      <c r="CA24" s="84">
        <f>AD12</f>
        <v>0</v>
      </c>
      <c r="CB24" s="84"/>
      <c r="CC24" s="84">
        <f>AF12</f>
        <v>0</v>
      </c>
      <c r="CD24" s="84"/>
      <c r="CE24" s="84">
        <f>AH12</f>
        <v>0</v>
      </c>
      <c r="CF24" s="84"/>
      <c r="CG24" s="84">
        <f>AJ12</f>
        <v>0</v>
      </c>
      <c r="CH24" s="84"/>
      <c r="CI24" s="84">
        <f>AL12</f>
        <v>0</v>
      </c>
      <c r="CJ24" s="84"/>
      <c r="CK24" s="84">
        <f>AN12</f>
        <v>0</v>
      </c>
      <c r="CL24" s="84"/>
      <c r="CM24" s="84">
        <f>AP12</f>
        <v>0</v>
      </c>
      <c r="CN24" s="84"/>
      <c r="CO24" s="84">
        <f>AR12</f>
        <v>0</v>
      </c>
      <c r="CP24" s="84"/>
      <c r="CQ24" s="84">
        <f>AT12</f>
        <v>0</v>
      </c>
      <c r="CR24" s="654"/>
      <c r="CS24" s="84">
        <f>AV12</f>
        <v>0</v>
      </c>
      <c r="CT24" s="84"/>
      <c r="CU24" s="84">
        <f>AX12</f>
        <v>0</v>
      </c>
      <c r="CV24" s="84"/>
      <c r="CW24" s="637">
        <v>64</v>
      </c>
      <c r="CX24" s="637" t="s">
        <v>402</v>
      </c>
      <c r="CY24" s="637">
        <v>84460</v>
      </c>
      <c r="CZ24" s="637">
        <v>78000</v>
      </c>
      <c r="DA24" s="637">
        <v>0</v>
      </c>
      <c r="DB24" s="637">
        <v>78000</v>
      </c>
      <c r="DC24" s="295"/>
    </row>
    <row r="25" spans="1:107" ht="19.5" customHeight="1">
      <c r="A25" s="290"/>
      <c r="B25" s="290"/>
      <c r="C25" s="28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2"/>
      <c r="BB25" s="293">
        <v>11</v>
      </c>
      <c r="BC25" s="294" t="s">
        <v>45</v>
      </c>
      <c r="BD25" s="84" t="s">
        <v>360</v>
      </c>
      <c r="BE25" s="84">
        <f>F10+F11</f>
        <v>0</v>
      </c>
      <c r="BF25" s="84">
        <f>H10+H11</f>
        <v>0</v>
      </c>
      <c r="BG25" s="84">
        <f>P10+P11</f>
        <v>0</v>
      </c>
      <c r="BH25" s="84"/>
      <c r="BI25" s="84">
        <f>L10+L11</f>
        <v>0</v>
      </c>
      <c r="BJ25" s="84"/>
      <c r="BK25" s="84">
        <f>Q10+Q11</f>
        <v>0</v>
      </c>
      <c r="BL25" s="84"/>
      <c r="BM25" s="84">
        <f>S10+S11</f>
        <v>0</v>
      </c>
      <c r="BN25" s="84"/>
      <c r="BO25" s="84">
        <f>R10+R11</f>
        <v>0</v>
      </c>
      <c r="BP25" s="84"/>
      <c r="BQ25" s="84">
        <f>T10+T11</f>
        <v>0</v>
      </c>
      <c r="BR25" s="84"/>
      <c r="BS25" s="84">
        <f>V10+V11</f>
        <v>0</v>
      </c>
      <c r="BT25" s="84"/>
      <c r="BU25" s="84">
        <f>X10+X11</f>
        <v>0</v>
      </c>
      <c r="BV25" s="85"/>
      <c r="BW25" s="84">
        <f>Z10+Z11</f>
        <v>0</v>
      </c>
      <c r="BX25" s="84"/>
      <c r="BY25" s="84">
        <f>AB10+AB11</f>
        <v>0</v>
      </c>
      <c r="BZ25" s="84"/>
      <c r="CA25" s="84">
        <f>AD10+AD11</f>
        <v>0</v>
      </c>
      <c r="CB25" s="84"/>
      <c r="CC25" s="84">
        <f>AF10+AF11</f>
        <v>0</v>
      </c>
      <c r="CD25" s="84"/>
      <c r="CE25" s="84">
        <f>AH10+AH11</f>
        <v>0</v>
      </c>
      <c r="CF25" s="84"/>
      <c r="CG25" s="84">
        <f>AJ10+AJ11</f>
        <v>0</v>
      </c>
      <c r="CH25" s="84"/>
      <c r="CI25" s="84">
        <f>AL10+AL11</f>
        <v>0</v>
      </c>
      <c r="CJ25" s="84"/>
      <c r="CK25" s="84">
        <f>AN10+AN11</f>
        <v>0</v>
      </c>
      <c r="CL25" s="84"/>
      <c r="CM25" s="84">
        <f>AP10+AP11</f>
        <v>0</v>
      </c>
      <c r="CN25" s="84"/>
      <c r="CO25" s="84">
        <f>AR10+AR11</f>
        <v>0</v>
      </c>
      <c r="CP25" s="84"/>
      <c r="CQ25" s="84">
        <f>AT10+AT11</f>
        <v>0</v>
      </c>
      <c r="CR25" s="84"/>
      <c r="CS25" s="84">
        <f>AV10+AV11</f>
        <v>0</v>
      </c>
      <c r="CT25" s="84"/>
      <c r="CU25" s="84">
        <f>AX10+AX11</f>
        <v>0</v>
      </c>
      <c r="CV25" s="84"/>
      <c r="CW25" s="637">
        <v>68</v>
      </c>
      <c r="CX25" s="637" t="s">
        <v>173</v>
      </c>
      <c r="CY25" s="637">
        <v>1259000</v>
      </c>
      <c r="CZ25" s="637">
        <v>303500</v>
      </c>
      <c r="DA25" s="637">
        <v>259000</v>
      </c>
      <c r="DB25" s="637">
        <v>574000</v>
      </c>
      <c r="DC25" s="295"/>
    </row>
    <row r="26" spans="1:107" ht="18.75" customHeight="1">
      <c r="A26" s="290"/>
      <c r="B26" s="290"/>
      <c r="F26" s="299"/>
      <c r="G26" s="299"/>
      <c r="H26" s="300"/>
      <c r="I26" s="301"/>
      <c r="J26" s="301"/>
      <c r="K26" s="301"/>
      <c r="L26" s="301"/>
      <c r="M26" s="301"/>
      <c r="N26" s="301"/>
      <c r="O26" s="301"/>
      <c r="P26" s="301"/>
      <c r="Q26" s="301"/>
      <c r="R26" s="301"/>
      <c r="S26" s="301"/>
      <c r="T26" s="301"/>
      <c r="U26" s="301"/>
      <c r="V26" s="301"/>
      <c r="W26" s="301"/>
      <c r="X26" s="301"/>
      <c r="Y26" s="301"/>
      <c r="Z26" s="301"/>
      <c r="AA26" s="300"/>
      <c r="AB26" s="745" t="str">
        <f>D8&amp;" (W1, 1)"</f>
        <v>Precipitation                               (W1, 1)</v>
      </c>
      <c r="AC26" s="746"/>
      <c r="AD26" s="746"/>
      <c r="AE26" s="747"/>
      <c r="AF26" s="301"/>
      <c r="AG26" s="301"/>
      <c r="AH26" s="301"/>
      <c r="AI26" s="301"/>
      <c r="AJ26" s="745" t="str">
        <f>D9&amp;"
(W1, 2)"</f>
        <v>Actual evapotranspiration
(W1, 2)</v>
      </c>
      <c r="AK26" s="748"/>
      <c r="AL26" s="748"/>
      <c r="AM26" s="748"/>
      <c r="AN26" s="749"/>
      <c r="AO26" s="298"/>
      <c r="AP26" s="298"/>
      <c r="AQ26" s="298"/>
      <c r="AR26" s="298"/>
      <c r="AS26" s="298"/>
      <c r="AT26" s="298"/>
      <c r="AU26" s="298"/>
      <c r="AV26" s="298"/>
      <c r="AW26" s="298"/>
      <c r="AX26" s="298"/>
      <c r="AY26" s="298"/>
      <c r="AZ26" s="298"/>
      <c r="BA26" s="292"/>
      <c r="BB26" s="297" t="s">
        <v>203</v>
      </c>
      <c r="BC26" s="294" t="s">
        <v>265</v>
      </c>
      <c r="BD26" s="84"/>
      <c r="BE26" s="84" t="str">
        <f>IF(OR(ISBLANK(F10),ISBLANK(F11)),"N/A",IF((BE24=BE25),"ok","&lt;&gt;"))</f>
        <v>N/A</v>
      </c>
      <c r="BF26" s="84" t="str">
        <f>IF(OR(ISBLANK(H10),ISBLANK(H11)),"N/A",IF((BF24=BF25),"ok","&lt;&gt;"))</f>
        <v>N/A</v>
      </c>
      <c r="BG26" s="84" t="str">
        <f>IF(OR(ISBLANK(P10),ISBLANK(P11)),"N/A",IF((BG24=BG25),"ok","&lt;&gt;"))</f>
        <v>N/A</v>
      </c>
      <c r="BH26" s="84"/>
      <c r="BI26" s="84" t="str">
        <f>IF(OR(ISBLANK(L10),ISBLANK(L11)),"N/A",IF((BI24=BI25),"ok","&lt;&gt;"))</f>
        <v>N/A</v>
      </c>
      <c r="BJ26" s="84"/>
      <c r="BK26" s="84" t="str">
        <f>IF(OR(ISBLANK(Q10),ISBLANK(Q11)),"N/A",IF((BK24=BK25),"ok","&lt;&gt;"))</f>
        <v>N/A</v>
      </c>
      <c r="BL26" s="84"/>
      <c r="BM26" s="84" t="str">
        <f>IF(OR(ISBLANK(S10),ISBLANK(S11)),"N/A",IF((BM24=BM25),"ok","&lt;&gt;"))</f>
        <v>N/A</v>
      </c>
      <c r="BN26" s="84"/>
      <c r="BO26" s="84" t="str">
        <f>IF(OR(ISBLANK(R10),ISBLANK(R11)),"N/A",IF((BO24=BO25),"ok","&lt;&gt;"))</f>
        <v>N/A</v>
      </c>
      <c r="BP26" s="84"/>
      <c r="BQ26" s="84" t="str">
        <f>IF(OR(ISBLANK(T10),ISBLANK(T11)),"N/A",IF((BQ24=BQ25),"ok","&lt;&gt;"))</f>
        <v>N/A</v>
      </c>
      <c r="BR26" s="84"/>
      <c r="BS26" s="84" t="str">
        <f>IF(OR(ISBLANK(V10),ISBLANK(V11)),"N/A",IF((BS24=BS25),"ok","&lt;&gt;"))</f>
        <v>N/A</v>
      </c>
      <c r="BT26" s="84"/>
      <c r="BU26" s="84" t="str">
        <f>IF(OR(ISBLANK(X10),ISBLANK(X11)),"N/A",IF((BU24=BU25),"ok","&lt;&gt;"))</f>
        <v>N/A</v>
      </c>
      <c r="BV26" s="84"/>
      <c r="BW26" s="84" t="str">
        <f>IF(OR(ISBLANK(Z10),ISBLANK(Z11)),"N/A",IF((BW24=BW25),"ok","&lt;&gt;"))</f>
        <v>N/A</v>
      </c>
      <c r="BX26" s="84"/>
      <c r="BY26" s="84" t="str">
        <f>IF(OR(ISBLANK(AB10),ISBLANK(AB11)),"N/A",IF((BY24=BY25),"ok","&lt;&gt;"))</f>
        <v>N/A</v>
      </c>
      <c r="BZ26" s="84"/>
      <c r="CA26" s="84" t="str">
        <f>IF(OR(ISBLANK(AD10),ISBLANK(AD11)),"N/A",IF((CA24=CA25),"ok","&lt;&gt;"))</f>
        <v>N/A</v>
      </c>
      <c r="CB26" s="84"/>
      <c r="CC26" s="84" t="str">
        <f>IF(OR(ISBLANK(AF10),ISBLANK(AF11)),"N/A",IF((CC24=CC25),"ok","&lt;&gt;"))</f>
        <v>N/A</v>
      </c>
      <c r="CD26" s="84"/>
      <c r="CE26" s="84" t="str">
        <f>IF(OR(ISBLANK(AH10),ISBLANK(AH11)),"N/A",IF((CE24=CE25),"ok","&lt;&gt;"))</f>
        <v>N/A</v>
      </c>
      <c r="CF26" s="84"/>
      <c r="CG26" s="84" t="str">
        <f>IF(OR(ISBLANK(AJ10),ISBLANK(AJ11)),"N/A",IF((CG24=CG25),"ok","&lt;&gt;"))</f>
        <v>N/A</v>
      </c>
      <c r="CH26" s="84"/>
      <c r="CI26" s="84" t="str">
        <f>IF(OR(ISBLANK(AL10),ISBLANK(AL11)),"N/A",IF((CI24=CI25),"ok","&lt;&gt;"))</f>
        <v>N/A</v>
      </c>
      <c r="CJ26" s="84"/>
      <c r="CK26" s="84" t="str">
        <f>IF(OR(ISBLANK(AN10),ISBLANK(AN11)),"N/A",IF((CK24=CK25),"ok","&lt;&gt;"))</f>
        <v>N/A</v>
      </c>
      <c r="CL26" s="84"/>
      <c r="CM26" s="84" t="str">
        <f>IF(OR(ISBLANK(AP10),ISBLANK(AP11)),"N/A",IF((CM24=CM25),"ok","&lt;&gt;"))</f>
        <v>N/A</v>
      </c>
      <c r="CN26" s="84"/>
      <c r="CO26" s="84" t="str">
        <f>IF(OR(ISBLANK(AR10),ISBLANK(AR11)),"N/A",IF((CO24=CO25),"ok","&lt;&gt;"))</f>
        <v>N/A</v>
      </c>
      <c r="CP26" s="84"/>
      <c r="CQ26" s="84" t="str">
        <f>IF(OR(ISBLANK(AT10),ISBLANK(AT11)),"N/A",IF((CQ24=CQ25),"ok","&lt;&gt;"))</f>
        <v>N/A</v>
      </c>
      <c r="CR26" s="84"/>
      <c r="CS26" s="84" t="str">
        <f>IF(OR(ISBLANK(AV10),ISBLANK(AV11)),"N/A",IF((CS24=CS25),"ok","&lt;&gt;"))</f>
        <v>N/A</v>
      </c>
      <c r="CT26" s="84"/>
      <c r="CU26" s="84" t="str">
        <f>IF(OR(ISBLANK(AX10),ISBLANK(AX11)),"N/A",IF((CU24=CU25),"ok","&lt;&gt;"))</f>
        <v>N/A</v>
      </c>
      <c r="CV26" s="84"/>
      <c r="CW26" s="637">
        <v>70</v>
      </c>
      <c r="CX26" s="637" t="s">
        <v>403</v>
      </c>
      <c r="CY26" s="637">
        <v>52640</v>
      </c>
      <c r="CZ26" s="637">
        <v>35500</v>
      </c>
      <c r="DA26" s="637">
        <v>2000</v>
      </c>
      <c r="DB26" s="637">
        <v>37500</v>
      </c>
      <c r="DC26" s="295"/>
    </row>
    <row r="27" spans="1:107" ht="22.5" customHeight="1">
      <c r="A27" s="290"/>
      <c r="B27" s="290"/>
      <c r="C27" s="288"/>
      <c r="D27" s="298"/>
      <c r="E27" s="298"/>
      <c r="F27" s="302"/>
      <c r="G27" s="302"/>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298"/>
      <c r="AN27" s="298"/>
      <c r="AO27" s="298"/>
      <c r="AP27" s="298"/>
      <c r="AQ27" s="298"/>
      <c r="AR27" s="298"/>
      <c r="AS27" s="298"/>
      <c r="AT27" s="298"/>
      <c r="AU27" s="298"/>
      <c r="AV27" s="298"/>
      <c r="AW27" s="298"/>
      <c r="AX27" s="298"/>
      <c r="AY27" s="298"/>
      <c r="AZ27" s="298"/>
      <c r="BA27" s="292"/>
      <c r="BB27" s="101">
        <v>1</v>
      </c>
      <c r="BC27" s="303" t="s">
        <v>563</v>
      </c>
      <c r="BD27" s="101" t="s">
        <v>360</v>
      </c>
      <c r="BE27" s="84">
        <f>F8</f>
        <v>0</v>
      </c>
      <c r="BF27" s="85" t="s">
        <v>97</v>
      </c>
      <c r="BG27" s="84" t="s">
        <v>97</v>
      </c>
      <c r="BH27" s="85"/>
      <c r="BI27" s="84" t="s">
        <v>97</v>
      </c>
      <c r="BJ27" s="85"/>
      <c r="BK27" s="84" t="s">
        <v>97</v>
      </c>
      <c r="BL27" s="85"/>
      <c r="BM27" s="84" t="s">
        <v>97</v>
      </c>
      <c r="BN27" s="85"/>
      <c r="BO27" s="84" t="s">
        <v>97</v>
      </c>
      <c r="BP27" s="85"/>
      <c r="BQ27" s="84" t="s">
        <v>97</v>
      </c>
      <c r="BR27" s="85"/>
      <c r="BS27" s="84" t="s">
        <v>97</v>
      </c>
      <c r="BT27" s="85"/>
      <c r="BU27" s="84" t="s">
        <v>97</v>
      </c>
      <c r="BV27" s="85"/>
      <c r="BW27" s="84" t="s">
        <v>97</v>
      </c>
      <c r="BX27" s="85"/>
      <c r="BY27" s="84" t="s">
        <v>97</v>
      </c>
      <c r="BZ27" s="85"/>
      <c r="CA27" s="84" t="s">
        <v>97</v>
      </c>
      <c r="CB27" s="85"/>
      <c r="CC27" s="84" t="s">
        <v>97</v>
      </c>
      <c r="CD27" s="84"/>
      <c r="CE27" s="84" t="s">
        <v>97</v>
      </c>
      <c r="CF27" s="85"/>
      <c r="CG27" s="84" t="s">
        <v>97</v>
      </c>
      <c r="CH27" s="85"/>
      <c r="CI27" s="84" t="s">
        <v>97</v>
      </c>
      <c r="CJ27" s="85"/>
      <c r="CK27" s="84" t="s">
        <v>97</v>
      </c>
      <c r="CL27" s="85"/>
      <c r="CM27" s="84" t="s">
        <v>97</v>
      </c>
      <c r="CN27" s="654"/>
      <c r="CO27" s="84" t="s">
        <v>97</v>
      </c>
      <c r="CP27" s="654"/>
      <c r="CQ27" s="84" t="s">
        <v>97</v>
      </c>
      <c r="CR27" s="654"/>
      <c r="CS27" s="84" t="s">
        <v>97</v>
      </c>
      <c r="CT27" s="654"/>
      <c r="CU27" s="84" t="s">
        <v>97</v>
      </c>
      <c r="CV27" s="654"/>
      <c r="CW27" s="637">
        <v>72</v>
      </c>
      <c r="CX27" s="637" t="s">
        <v>404</v>
      </c>
      <c r="CY27" s="637">
        <v>242000</v>
      </c>
      <c r="CZ27" s="637">
        <v>2400</v>
      </c>
      <c r="DA27" s="637">
        <v>9040</v>
      </c>
      <c r="DB27" s="637">
        <v>12240</v>
      </c>
      <c r="DC27" s="295"/>
    </row>
    <row r="28" spans="1:107" ht="14.25" customHeight="1">
      <c r="A28" s="290"/>
      <c r="B28" s="290"/>
      <c r="C28" s="288"/>
      <c r="D28" s="298"/>
      <c r="F28" s="304"/>
      <c r="G28" s="299"/>
      <c r="H28" s="300"/>
      <c r="I28" s="300"/>
      <c r="J28" s="300"/>
      <c r="K28" s="300"/>
      <c r="L28" s="300"/>
      <c r="M28" s="300"/>
      <c r="N28" s="300"/>
      <c r="O28" s="300"/>
      <c r="P28" s="300"/>
      <c r="Q28" s="300"/>
      <c r="R28" s="300"/>
      <c r="S28" s="300"/>
      <c r="T28" s="300"/>
      <c r="U28" s="300"/>
      <c r="V28" s="300"/>
      <c r="W28" s="300"/>
      <c r="X28" s="300"/>
      <c r="Y28" s="300"/>
      <c r="Z28" s="300"/>
      <c r="AA28" s="300"/>
      <c r="AB28" s="300"/>
      <c r="AC28" s="301"/>
      <c r="AD28" s="745" t="str">
        <f>LEFT(D10,LEN(D10)-7)&amp;" (W1, 3)"</f>
        <v>Internal flow (W1, 3)</v>
      </c>
      <c r="AE28" s="750"/>
      <c r="AF28" s="750"/>
      <c r="AG28" s="750"/>
      <c r="AH28" s="750"/>
      <c r="AI28" s="750"/>
      <c r="AJ28" s="750"/>
      <c r="AK28" s="750"/>
      <c r="AL28" s="751"/>
      <c r="AM28" s="298"/>
      <c r="AN28" s="298"/>
      <c r="AO28" s="298"/>
      <c r="AP28" s="298"/>
      <c r="AQ28" s="298"/>
      <c r="AR28" s="298"/>
      <c r="AS28" s="298"/>
      <c r="AZ28" s="298"/>
      <c r="BA28" s="292"/>
      <c r="BB28" s="293">
        <v>12</v>
      </c>
      <c r="BC28" s="294" t="s">
        <v>62</v>
      </c>
      <c r="BD28" s="84" t="s">
        <v>360</v>
      </c>
      <c r="BE28" s="84">
        <f>VLOOKUP(B3,CW7:CZ183,3,FALSE)</f>
        <v>825000</v>
      </c>
      <c r="BF28" s="84" t="s">
        <v>97</v>
      </c>
      <c r="BG28" s="84" t="s">
        <v>97</v>
      </c>
      <c r="BH28" s="84"/>
      <c r="BI28" s="84" t="s">
        <v>97</v>
      </c>
      <c r="BJ28" s="85"/>
      <c r="BK28" s="84" t="s">
        <v>97</v>
      </c>
      <c r="BL28" s="85"/>
      <c r="BM28" s="84" t="s">
        <v>97</v>
      </c>
      <c r="BN28" s="85"/>
      <c r="BO28" s="84" t="s">
        <v>97</v>
      </c>
      <c r="BP28" s="85"/>
      <c r="BQ28" s="84" t="s">
        <v>97</v>
      </c>
      <c r="BR28" s="85"/>
      <c r="BS28" s="84" t="s">
        <v>97</v>
      </c>
      <c r="BT28" s="85"/>
      <c r="BU28" s="84" t="s">
        <v>97</v>
      </c>
      <c r="BV28" s="85"/>
      <c r="BW28" s="84" t="s">
        <v>97</v>
      </c>
      <c r="BX28" s="85"/>
      <c r="BY28" s="84" t="s">
        <v>97</v>
      </c>
      <c r="BZ28" s="85"/>
      <c r="CA28" s="84" t="s">
        <v>97</v>
      </c>
      <c r="CB28" s="85"/>
      <c r="CC28" s="84" t="s">
        <v>97</v>
      </c>
      <c r="CD28" s="84"/>
      <c r="CE28" s="84" t="s">
        <v>97</v>
      </c>
      <c r="CF28" s="85"/>
      <c r="CG28" s="84" t="s">
        <v>97</v>
      </c>
      <c r="CH28" s="85"/>
      <c r="CI28" s="84" t="s">
        <v>97</v>
      </c>
      <c r="CJ28" s="85"/>
      <c r="CK28" s="84" t="s">
        <v>97</v>
      </c>
      <c r="CL28" s="85"/>
      <c r="CM28" s="84" t="s">
        <v>97</v>
      </c>
      <c r="CN28" s="654"/>
      <c r="CO28" s="84" t="s">
        <v>97</v>
      </c>
      <c r="CP28" s="654"/>
      <c r="CQ28" s="84" t="s">
        <v>97</v>
      </c>
      <c r="CR28" s="654"/>
      <c r="CS28" s="84" t="s">
        <v>97</v>
      </c>
      <c r="CT28" s="654"/>
      <c r="CU28" s="84" t="s">
        <v>97</v>
      </c>
      <c r="CV28" s="654"/>
      <c r="CW28" s="637">
        <v>76</v>
      </c>
      <c r="CX28" s="637" t="s">
        <v>405</v>
      </c>
      <c r="CY28" s="637">
        <v>14995000</v>
      </c>
      <c r="CZ28" s="637">
        <v>5661000</v>
      </c>
      <c r="DA28" s="637">
        <v>2986000</v>
      </c>
      <c r="DB28" s="637">
        <v>8647000</v>
      </c>
      <c r="DC28" s="295"/>
    </row>
    <row r="29" spans="1:107" ht="33.75" customHeight="1">
      <c r="A29" s="290"/>
      <c r="B29" s="290"/>
      <c r="C29" s="288"/>
      <c r="D29" s="298"/>
      <c r="E29" s="298"/>
      <c r="F29" s="302"/>
      <c r="G29" s="302"/>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298"/>
      <c r="AN29" s="298"/>
      <c r="AO29" s="298"/>
      <c r="AP29" s="298"/>
      <c r="AQ29" s="298"/>
      <c r="AR29" s="298"/>
      <c r="AS29" s="298"/>
      <c r="AT29" s="745" t="str">
        <f>D13&amp;" (W1, 6)"</f>
        <v>Outflow of surface and groundwaters to neighbouring countries (W1, 6)</v>
      </c>
      <c r="AU29" s="746"/>
      <c r="AV29" s="746"/>
      <c r="AW29" s="746"/>
      <c r="AX29" s="746"/>
      <c r="AY29" s="752"/>
      <c r="AZ29" s="298"/>
      <c r="BA29" s="292"/>
      <c r="BB29" s="297" t="s">
        <v>203</v>
      </c>
      <c r="BC29" s="305" t="s">
        <v>266</v>
      </c>
      <c r="BD29" s="84" t="s">
        <v>360</v>
      </c>
      <c r="BE29" s="84">
        <f>ABS(BE27-BE28)</f>
        <v>825000</v>
      </c>
      <c r="BF29" s="85" t="s">
        <v>97</v>
      </c>
      <c r="BG29" s="84" t="s">
        <v>97</v>
      </c>
      <c r="BH29" s="85"/>
      <c r="BI29" s="84" t="s">
        <v>97</v>
      </c>
      <c r="BJ29" s="85"/>
      <c r="BK29" s="84" t="s">
        <v>97</v>
      </c>
      <c r="BL29" s="85"/>
      <c r="BM29" s="84" t="s">
        <v>97</v>
      </c>
      <c r="BN29" s="85"/>
      <c r="BO29" s="84" t="s">
        <v>97</v>
      </c>
      <c r="BP29" s="85"/>
      <c r="BQ29" s="84" t="s">
        <v>97</v>
      </c>
      <c r="BR29" s="85"/>
      <c r="BS29" s="84" t="s">
        <v>97</v>
      </c>
      <c r="BT29" s="85"/>
      <c r="BU29" s="84" t="s">
        <v>97</v>
      </c>
      <c r="BV29" s="85"/>
      <c r="BW29" s="84" t="s">
        <v>97</v>
      </c>
      <c r="BX29" s="85"/>
      <c r="BY29" s="84" t="s">
        <v>97</v>
      </c>
      <c r="BZ29" s="85"/>
      <c r="CA29" s="84" t="s">
        <v>97</v>
      </c>
      <c r="CB29" s="85"/>
      <c r="CC29" s="84" t="s">
        <v>97</v>
      </c>
      <c r="CD29" s="84"/>
      <c r="CE29" s="84" t="s">
        <v>97</v>
      </c>
      <c r="CF29" s="85"/>
      <c r="CG29" s="84" t="s">
        <v>97</v>
      </c>
      <c r="CH29" s="85"/>
      <c r="CI29" s="84" t="s">
        <v>97</v>
      </c>
      <c r="CJ29" s="85"/>
      <c r="CK29" s="84" t="s">
        <v>97</v>
      </c>
      <c r="CL29" s="85"/>
      <c r="CM29" s="84" t="s">
        <v>97</v>
      </c>
      <c r="CN29" s="654"/>
      <c r="CO29" s="84" t="s">
        <v>97</v>
      </c>
      <c r="CP29" s="654"/>
      <c r="CQ29" s="84" t="s">
        <v>97</v>
      </c>
      <c r="CR29" s="654"/>
      <c r="CS29" s="84" t="s">
        <v>97</v>
      </c>
      <c r="CT29" s="654"/>
      <c r="CU29" s="84" t="s">
        <v>97</v>
      </c>
      <c r="CV29" s="654"/>
      <c r="CW29" s="637">
        <v>96</v>
      </c>
      <c r="CX29" s="637" t="s">
        <v>406</v>
      </c>
      <c r="CY29" s="637">
        <v>15710</v>
      </c>
      <c r="CZ29" s="637">
        <v>8500</v>
      </c>
      <c r="DA29" s="637">
        <v>0</v>
      </c>
      <c r="DB29" s="637">
        <v>8500</v>
      </c>
      <c r="DC29" s="295"/>
    </row>
    <row r="30" spans="1:107" ht="44.25" customHeight="1">
      <c r="A30" s="290"/>
      <c r="B30" s="290"/>
      <c r="C30" s="288"/>
      <c r="D30" s="298"/>
      <c r="E30" s="298"/>
      <c r="F30" s="302"/>
      <c r="G30" s="302"/>
      <c r="H30" s="301"/>
      <c r="I30" s="301"/>
      <c r="J30" s="301"/>
      <c r="K30" s="301"/>
      <c r="L30" s="301"/>
      <c r="M30" s="301"/>
      <c r="N30" s="301"/>
      <c r="O30" s="301"/>
      <c r="P30" s="301"/>
      <c r="Q30" s="301"/>
      <c r="R30" s="301"/>
      <c r="S30" s="301"/>
      <c r="T30" s="301"/>
      <c r="U30" s="301"/>
      <c r="V30" s="301"/>
      <c r="W30" s="301"/>
      <c r="X30" s="301"/>
      <c r="Y30" s="301"/>
      <c r="Z30" s="301"/>
      <c r="AA30" s="301"/>
      <c r="AB30" s="745" t="str">
        <f>D11&amp;" (W1, 4)"</f>
        <v>Inflow of surface and groundwaters from neighbouring countries (W1, 4)</v>
      </c>
      <c r="AC30" s="753"/>
      <c r="AD30" s="753"/>
      <c r="AE30" s="754"/>
      <c r="AF30" s="301"/>
      <c r="AG30" s="301"/>
      <c r="AH30" s="301"/>
      <c r="AI30" s="301"/>
      <c r="AJ30" s="301"/>
      <c r="AK30" s="745" t="str">
        <f>LEFT(D12,LEN(D12)-7)&amp;" (W1, 5)"</f>
        <v>Renewable freshwater resources (W1, 5)</v>
      </c>
      <c r="AL30" s="774"/>
      <c r="AM30" s="774"/>
      <c r="AN30" s="775"/>
      <c r="AO30" s="298"/>
      <c r="AP30" s="298"/>
      <c r="AQ30" s="298"/>
      <c r="AR30" s="298"/>
      <c r="AS30" s="298"/>
      <c r="AT30" s="299"/>
      <c r="AU30" s="299"/>
      <c r="AV30" s="299"/>
      <c r="AW30" s="299"/>
      <c r="AX30" s="299"/>
      <c r="AY30" s="306"/>
      <c r="AZ30" s="302"/>
      <c r="BA30" s="292"/>
      <c r="BB30" s="84">
        <v>3</v>
      </c>
      <c r="BC30" s="258" t="s">
        <v>23</v>
      </c>
      <c r="BD30" s="84" t="s">
        <v>360</v>
      </c>
      <c r="BE30" s="84">
        <f>F10</f>
        <v>0</v>
      </c>
      <c r="BF30" s="85" t="s">
        <v>97</v>
      </c>
      <c r="BG30" s="84" t="s">
        <v>97</v>
      </c>
      <c r="BH30" s="85"/>
      <c r="BI30" s="84" t="s">
        <v>97</v>
      </c>
      <c r="BJ30" s="85"/>
      <c r="BK30" s="84" t="s">
        <v>97</v>
      </c>
      <c r="BL30" s="85"/>
      <c r="BM30" s="84" t="s">
        <v>97</v>
      </c>
      <c r="BN30" s="85"/>
      <c r="BO30" s="84" t="s">
        <v>97</v>
      </c>
      <c r="BP30" s="85"/>
      <c r="BQ30" s="84" t="s">
        <v>97</v>
      </c>
      <c r="BR30" s="85"/>
      <c r="BS30" s="84" t="s">
        <v>97</v>
      </c>
      <c r="BT30" s="85"/>
      <c r="BU30" s="84" t="s">
        <v>97</v>
      </c>
      <c r="BV30" s="85"/>
      <c r="BW30" s="84" t="s">
        <v>97</v>
      </c>
      <c r="BX30" s="85"/>
      <c r="BY30" s="84" t="s">
        <v>97</v>
      </c>
      <c r="BZ30" s="85"/>
      <c r="CA30" s="84" t="s">
        <v>97</v>
      </c>
      <c r="CB30" s="85"/>
      <c r="CC30" s="84" t="s">
        <v>97</v>
      </c>
      <c r="CD30" s="84"/>
      <c r="CE30" s="84" t="s">
        <v>97</v>
      </c>
      <c r="CF30" s="85"/>
      <c r="CG30" s="84" t="s">
        <v>97</v>
      </c>
      <c r="CH30" s="85"/>
      <c r="CI30" s="84" t="s">
        <v>97</v>
      </c>
      <c r="CJ30" s="85"/>
      <c r="CK30" s="84" t="s">
        <v>97</v>
      </c>
      <c r="CL30" s="85"/>
      <c r="CM30" s="84" t="s">
        <v>97</v>
      </c>
      <c r="CN30" s="654"/>
      <c r="CO30" s="84" t="s">
        <v>97</v>
      </c>
      <c r="CP30" s="654"/>
      <c r="CQ30" s="84" t="s">
        <v>97</v>
      </c>
      <c r="CR30" s="654"/>
      <c r="CS30" s="84" t="s">
        <v>97</v>
      </c>
      <c r="CT30" s="654"/>
      <c r="CU30" s="84" t="s">
        <v>97</v>
      </c>
      <c r="CV30" s="654"/>
      <c r="CW30" s="637">
        <v>100</v>
      </c>
      <c r="CX30" s="637" t="s">
        <v>407</v>
      </c>
      <c r="CY30" s="637">
        <v>67490</v>
      </c>
      <c r="CZ30" s="637">
        <v>21000</v>
      </c>
      <c r="DA30" s="637">
        <v>300</v>
      </c>
      <c r="DB30" s="637">
        <v>21300</v>
      </c>
      <c r="DC30" s="295"/>
    </row>
    <row r="31" spans="1:107" s="211" customFormat="1" ht="44.25" customHeight="1">
      <c r="A31" s="290"/>
      <c r="B31" s="290"/>
      <c r="C31" s="288"/>
      <c r="E31" s="304"/>
      <c r="F31" s="299"/>
      <c r="G31" s="299"/>
      <c r="H31" s="300"/>
      <c r="I31" s="307"/>
      <c r="J31" s="307"/>
      <c r="K31" s="307"/>
      <c r="L31" s="307"/>
      <c r="M31" s="307"/>
      <c r="N31" s="307"/>
      <c r="O31" s="307"/>
      <c r="P31" s="307"/>
      <c r="Q31" s="307"/>
      <c r="R31" s="307"/>
      <c r="S31" s="307"/>
      <c r="T31" s="307"/>
      <c r="U31" s="307"/>
      <c r="V31" s="307"/>
      <c r="W31" s="307"/>
      <c r="X31" s="307"/>
      <c r="Y31" s="307"/>
      <c r="Z31" s="307"/>
      <c r="AA31" s="308"/>
      <c r="AB31" s="766"/>
      <c r="AC31" s="767"/>
      <c r="AD31" s="767"/>
      <c r="AE31" s="767"/>
      <c r="AF31" s="308"/>
      <c r="AG31" s="309"/>
      <c r="AH31" s="300"/>
      <c r="AI31" s="300"/>
      <c r="AJ31" s="300"/>
      <c r="AK31" s="766"/>
      <c r="AL31" s="768"/>
      <c r="AM31" s="768"/>
      <c r="AN31" s="768"/>
      <c r="AO31" s="310"/>
      <c r="AP31" s="310"/>
      <c r="AQ31" s="230"/>
      <c r="AR31" s="230"/>
      <c r="AS31" s="230"/>
      <c r="AT31" s="745" t="str">
        <f>D16&amp;" (W1, 9)"</f>
        <v>Outflow of surface and groundwaters to the sea (W1, 9)</v>
      </c>
      <c r="AU31" s="746"/>
      <c r="AV31" s="746"/>
      <c r="AW31" s="746"/>
      <c r="AX31" s="746"/>
      <c r="AY31" s="752"/>
      <c r="AZ31" s="310"/>
      <c r="BA31" s="292"/>
      <c r="BB31" s="311">
        <v>13</v>
      </c>
      <c r="BC31" s="294" t="s">
        <v>63</v>
      </c>
      <c r="BD31" s="84" t="s">
        <v>360</v>
      </c>
      <c r="BE31" s="84">
        <f>VLOOKUP(B3,CW7:CZ183,4,FALSE)</f>
        <v>100300</v>
      </c>
      <c r="BF31" s="85" t="s">
        <v>97</v>
      </c>
      <c r="BG31" s="84" t="s">
        <v>97</v>
      </c>
      <c r="BH31" s="85"/>
      <c r="BI31" s="84" t="s">
        <v>97</v>
      </c>
      <c r="BJ31" s="85"/>
      <c r="BK31" s="84" t="s">
        <v>97</v>
      </c>
      <c r="BL31" s="85"/>
      <c r="BM31" s="84" t="s">
        <v>97</v>
      </c>
      <c r="BN31" s="85"/>
      <c r="BO31" s="84" t="s">
        <v>97</v>
      </c>
      <c r="BP31" s="85"/>
      <c r="BQ31" s="84" t="s">
        <v>97</v>
      </c>
      <c r="BR31" s="85"/>
      <c r="BS31" s="84" t="s">
        <v>97</v>
      </c>
      <c r="BT31" s="85"/>
      <c r="BU31" s="84" t="s">
        <v>97</v>
      </c>
      <c r="BV31" s="85"/>
      <c r="BW31" s="84" t="s">
        <v>97</v>
      </c>
      <c r="BX31" s="85"/>
      <c r="BY31" s="84" t="s">
        <v>97</v>
      </c>
      <c r="BZ31" s="85"/>
      <c r="CA31" s="84" t="s">
        <v>97</v>
      </c>
      <c r="CB31" s="85"/>
      <c r="CC31" s="84" t="s">
        <v>97</v>
      </c>
      <c r="CD31" s="84"/>
      <c r="CE31" s="84" t="s">
        <v>97</v>
      </c>
      <c r="CF31" s="85"/>
      <c r="CG31" s="84" t="s">
        <v>97</v>
      </c>
      <c r="CH31" s="85"/>
      <c r="CI31" s="84" t="s">
        <v>97</v>
      </c>
      <c r="CJ31" s="85"/>
      <c r="CK31" s="84" t="s">
        <v>97</v>
      </c>
      <c r="CL31" s="85"/>
      <c r="CM31" s="84" t="s">
        <v>97</v>
      </c>
      <c r="CN31" s="654"/>
      <c r="CO31" s="84" t="s">
        <v>97</v>
      </c>
      <c r="CP31" s="654"/>
      <c r="CQ31" s="84" t="s">
        <v>97</v>
      </c>
      <c r="CR31" s="654"/>
      <c r="CS31" s="84" t="s">
        <v>97</v>
      </c>
      <c r="CT31" s="654"/>
      <c r="CU31" s="84" t="s">
        <v>97</v>
      </c>
      <c r="CV31" s="654"/>
      <c r="CW31" s="637">
        <v>854</v>
      </c>
      <c r="CX31" s="637" t="s">
        <v>408</v>
      </c>
      <c r="CY31" s="637">
        <v>205100</v>
      </c>
      <c r="CZ31" s="637">
        <v>12500</v>
      </c>
      <c r="DA31" s="637">
        <v>0</v>
      </c>
      <c r="DB31" s="637">
        <v>13500</v>
      </c>
      <c r="DC31" s="218"/>
    </row>
    <row r="32" spans="1:107" s="211" customFormat="1" ht="24.75" customHeight="1">
      <c r="A32" s="290"/>
      <c r="B32" s="290"/>
      <c r="C32" s="288"/>
      <c r="E32" s="312"/>
      <c r="F32" s="312"/>
      <c r="G32" s="218"/>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4"/>
      <c r="BB32" s="297" t="s">
        <v>203</v>
      </c>
      <c r="BC32" s="294" t="s">
        <v>267</v>
      </c>
      <c r="BD32" s="84" t="s">
        <v>360</v>
      </c>
      <c r="BE32" s="84">
        <f>ABS(BE30-BE31)</f>
        <v>100300</v>
      </c>
      <c r="BF32" s="84" t="s">
        <v>97</v>
      </c>
      <c r="BG32" s="84" t="s">
        <v>97</v>
      </c>
      <c r="BH32" s="84"/>
      <c r="BI32" s="84" t="s">
        <v>97</v>
      </c>
      <c r="BJ32" s="84"/>
      <c r="BK32" s="84" t="s">
        <v>97</v>
      </c>
      <c r="BL32" s="84"/>
      <c r="BM32" s="84" t="s">
        <v>97</v>
      </c>
      <c r="BN32" s="84"/>
      <c r="BO32" s="84" t="s">
        <v>97</v>
      </c>
      <c r="BP32" s="84"/>
      <c r="BQ32" s="84" t="s">
        <v>97</v>
      </c>
      <c r="BR32" s="84"/>
      <c r="BS32" s="84" t="s">
        <v>97</v>
      </c>
      <c r="BT32" s="84"/>
      <c r="BU32" s="84" t="s">
        <v>97</v>
      </c>
      <c r="BV32" s="84"/>
      <c r="BW32" s="84" t="s">
        <v>97</v>
      </c>
      <c r="BX32" s="84"/>
      <c r="BY32" s="84" t="s">
        <v>97</v>
      </c>
      <c r="BZ32" s="84"/>
      <c r="CA32" s="84" t="s">
        <v>97</v>
      </c>
      <c r="CB32" s="84"/>
      <c r="CC32" s="84" t="s">
        <v>97</v>
      </c>
      <c r="CD32" s="84"/>
      <c r="CE32" s="84" t="s">
        <v>97</v>
      </c>
      <c r="CF32" s="84"/>
      <c r="CG32" s="84" t="s">
        <v>97</v>
      </c>
      <c r="CH32" s="84"/>
      <c r="CI32" s="84" t="s">
        <v>97</v>
      </c>
      <c r="CJ32" s="84"/>
      <c r="CK32" s="84" t="s">
        <v>97</v>
      </c>
      <c r="CL32" s="84"/>
      <c r="CM32" s="84" t="s">
        <v>97</v>
      </c>
      <c r="CN32" s="84"/>
      <c r="CO32" s="84" t="s">
        <v>97</v>
      </c>
      <c r="CP32" s="84"/>
      <c r="CQ32" s="84" t="s">
        <v>97</v>
      </c>
      <c r="CR32" s="84"/>
      <c r="CS32" s="84" t="s">
        <v>97</v>
      </c>
      <c r="CT32" s="84"/>
      <c r="CU32" s="84" t="s">
        <v>97</v>
      </c>
      <c r="CV32" s="84"/>
      <c r="CW32" s="637">
        <v>108</v>
      </c>
      <c r="CX32" s="637" t="s">
        <v>409</v>
      </c>
      <c r="CY32" s="637">
        <v>35460</v>
      </c>
      <c r="CZ32" s="637">
        <v>10060</v>
      </c>
      <c r="DA32" s="637">
        <v>126</v>
      </c>
      <c r="DB32" s="637">
        <v>12540</v>
      </c>
      <c r="DC32" s="218"/>
    </row>
    <row r="33" spans="1:107" s="226" customFormat="1" ht="15">
      <c r="A33" s="221"/>
      <c r="B33" s="190">
        <v>1</v>
      </c>
      <c r="C33" s="313" t="s">
        <v>359</v>
      </c>
      <c r="D33" s="314"/>
      <c r="E33" s="313"/>
      <c r="F33" s="315"/>
      <c r="G33" s="316"/>
      <c r="H33" s="317"/>
      <c r="I33" s="318"/>
      <c r="J33" s="317"/>
      <c r="K33" s="318"/>
      <c r="L33" s="317"/>
      <c r="M33" s="318"/>
      <c r="N33" s="317"/>
      <c r="O33" s="318"/>
      <c r="P33" s="317"/>
      <c r="Q33" s="318"/>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5"/>
      <c r="AY33" s="315"/>
      <c r="AZ33" s="315"/>
      <c r="BA33" s="200"/>
      <c r="BB33" s="84">
        <v>4</v>
      </c>
      <c r="BC33" s="258" t="s">
        <v>28</v>
      </c>
      <c r="BD33" s="84" t="s">
        <v>360</v>
      </c>
      <c r="BE33" s="84">
        <f>F11</f>
        <v>0</v>
      </c>
      <c r="BF33" s="84" t="s">
        <v>97</v>
      </c>
      <c r="BG33" s="84" t="s">
        <v>97</v>
      </c>
      <c r="BH33" s="84"/>
      <c r="BI33" s="84" t="s">
        <v>97</v>
      </c>
      <c r="BJ33" s="84"/>
      <c r="BK33" s="84" t="s">
        <v>97</v>
      </c>
      <c r="BL33" s="84"/>
      <c r="BM33" s="84" t="s">
        <v>97</v>
      </c>
      <c r="BN33" s="84"/>
      <c r="BO33" s="84" t="s">
        <v>97</v>
      </c>
      <c r="BP33" s="84"/>
      <c r="BQ33" s="84" t="s">
        <v>97</v>
      </c>
      <c r="BR33" s="84"/>
      <c r="BS33" s="84" t="s">
        <v>97</v>
      </c>
      <c r="BT33" s="84"/>
      <c r="BU33" s="84" t="s">
        <v>97</v>
      </c>
      <c r="BV33" s="84"/>
      <c r="BW33" s="84" t="s">
        <v>97</v>
      </c>
      <c r="BX33" s="84"/>
      <c r="BY33" s="84" t="s">
        <v>97</v>
      </c>
      <c r="BZ33" s="84"/>
      <c r="CA33" s="84" t="s">
        <v>97</v>
      </c>
      <c r="CB33" s="84"/>
      <c r="CC33" s="84" t="s">
        <v>97</v>
      </c>
      <c r="CD33" s="84"/>
      <c r="CE33" s="84" t="s">
        <v>97</v>
      </c>
      <c r="CF33" s="84"/>
      <c r="CG33" s="84" t="s">
        <v>97</v>
      </c>
      <c r="CH33" s="84"/>
      <c r="CI33" s="84" t="s">
        <v>97</v>
      </c>
      <c r="CJ33" s="84"/>
      <c r="CK33" s="84" t="s">
        <v>97</v>
      </c>
      <c r="CL33" s="84"/>
      <c r="CM33" s="84" t="s">
        <v>97</v>
      </c>
      <c r="CN33" s="84"/>
      <c r="CO33" s="84" t="s">
        <v>97</v>
      </c>
      <c r="CP33" s="84"/>
      <c r="CQ33" s="84" t="s">
        <v>97</v>
      </c>
      <c r="CR33" s="84"/>
      <c r="CS33" s="84" t="s">
        <v>97</v>
      </c>
      <c r="CT33" s="84"/>
      <c r="CU33" s="84" t="s">
        <v>97</v>
      </c>
      <c r="CV33" s="84"/>
      <c r="CW33" s="637">
        <v>132</v>
      </c>
      <c r="CX33" s="637" t="s">
        <v>587</v>
      </c>
      <c r="CY33" s="637">
        <v>918.8</v>
      </c>
      <c r="CZ33" s="637">
        <v>300</v>
      </c>
      <c r="DA33" s="637">
        <v>0</v>
      </c>
      <c r="DB33" s="637">
        <v>300</v>
      </c>
      <c r="DC33" s="320"/>
    </row>
    <row r="34" spans="3:106" ht="6" customHeight="1">
      <c r="C34" s="321"/>
      <c r="D34" s="322"/>
      <c r="E34" s="323"/>
      <c r="F34" s="211"/>
      <c r="G34" s="217"/>
      <c r="H34" s="216"/>
      <c r="I34" s="299"/>
      <c r="J34" s="216"/>
      <c r="K34" s="299"/>
      <c r="L34" s="216"/>
      <c r="M34" s="299"/>
      <c r="N34" s="216"/>
      <c r="O34" s="299"/>
      <c r="P34" s="216"/>
      <c r="Q34" s="299"/>
      <c r="R34" s="216"/>
      <c r="S34" s="299"/>
      <c r="T34" s="216"/>
      <c r="U34" s="299"/>
      <c r="V34" s="216"/>
      <c r="W34" s="217"/>
      <c r="X34" s="216"/>
      <c r="Y34" s="217"/>
      <c r="Z34" s="216"/>
      <c r="AA34" s="217"/>
      <c r="AB34" s="216"/>
      <c r="AC34" s="217"/>
      <c r="AD34" s="216"/>
      <c r="AE34" s="217"/>
      <c r="AF34" s="216"/>
      <c r="AG34" s="217"/>
      <c r="AH34" s="216"/>
      <c r="AI34" s="299"/>
      <c r="AJ34" s="216"/>
      <c r="AK34" s="217"/>
      <c r="AL34" s="216"/>
      <c r="AM34" s="217"/>
      <c r="AN34" s="216"/>
      <c r="AO34" s="217"/>
      <c r="AP34" s="217"/>
      <c r="AQ34" s="217"/>
      <c r="AR34" s="217"/>
      <c r="AS34" s="217"/>
      <c r="AT34" s="216"/>
      <c r="AU34" s="210"/>
      <c r="AV34" s="211"/>
      <c r="AW34" s="211"/>
      <c r="AX34" s="211"/>
      <c r="AY34" s="211"/>
      <c r="AZ34" s="211"/>
      <c r="BB34" s="293">
        <v>14</v>
      </c>
      <c r="BC34" s="294" t="s">
        <v>65</v>
      </c>
      <c r="BD34" s="84" t="s">
        <v>360</v>
      </c>
      <c r="BE34" s="84" t="e">
        <f>VLOOKUP(B3,CW7:CZ183,5,FALSE)</f>
        <v>#REF!</v>
      </c>
      <c r="BF34" s="84" t="s">
        <v>97</v>
      </c>
      <c r="BG34" s="84" t="s">
        <v>97</v>
      </c>
      <c r="BH34" s="84"/>
      <c r="BI34" s="84" t="s">
        <v>97</v>
      </c>
      <c r="BJ34" s="84"/>
      <c r="BK34" s="84" t="s">
        <v>97</v>
      </c>
      <c r="BL34" s="84"/>
      <c r="BM34" s="84" t="s">
        <v>97</v>
      </c>
      <c r="BN34" s="84"/>
      <c r="BO34" s="84" t="s">
        <v>97</v>
      </c>
      <c r="BP34" s="84"/>
      <c r="BQ34" s="84" t="s">
        <v>97</v>
      </c>
      <c r="BR34" s="84"/>
      <c r="BS34" s="84" t="s">
        <v>97</v>
      </c>
      <c r="BT34" s="84"/>
      <c r="BU34" s="84" t="s">
        <v>97</v>
      </c>
      <c r="BV34" s="84"/>
      <c r="BW34" s="84" t="s">
        <v>97</v>
      </c>
      <c r="BX34" s="84"/>
      <c r="BY34" s="84" t="s">
        <v>97</v>
      </c>
      <c r="BZ34" s="84"/>
      <c r="CA34" s="84" t="s">
        <v>97</v>
      </c>
      <c r="CB34" s="84"/>
      <c r="CC34" s="84" t="s">
        <v>97</v>
      </c>
      <c r="CD34" s="84"/>
      <c r="CE34" s="84" t="s">
        <v>97</v>
      </c>
      <c r="CF34" s="84"/>
      <c r="CG34" s="84" t="s">
        <v>97</v>
      </c>
      <c r="CH34" s="84"/>
      <c r="CI34" s="84" t="s">
        <v>97</v>
      </c>
      <c r="CJ34" s="84"/>
      <c r="CK34" s="84" t="s">
        <v>97</v>
      </c>
      <c r="CL34" s="84"/>
      <c r="CM34" s="84" t="s">
        <v>97</v>
      </c>
      <c r="CN34" s="84"/>
      <c r="CO34" s="84" t="s">
        <v>97</v>
      </c>
      <c r="CP34" s="84"/>
      <c r="CQ34" s="84" t="s">
        <v>97</v>
      </c>
      <c r="CR34" s="84"/>
      <c r="CS34" s="84" t="s">
        <v>97</v>
      </c>
      <c r="CT34" s="84"/>
      <c r="CU34" s="84" t="s">
        <v>97</v>
      </c>
      <c r="CV34" s="84"/>
      <c r="CW34" s="637">
        <v>116</v>
      </c>
      <c r="CX34" s="637" t="s">
        <v>410</v>
      </c>
      <c r="CY34" s="637">
        <v>344700</v>
      </c>
      <c r="CZ34" s="637">
        <v>120600</v>
      </c>
      <c r="DA34" s="637">
        <v>355500</v>
      </c>
      <c r="DB34" s="637">
        <v>476100</v>
      </c>
    </row>
    <row r="35" spans="3:106" ht="18" customHeight="1">
      <c r="C35" s="324" t="s">
        <v>354</v>
      </c>
      <c r="D35" s="762" t="s">
        <v>357</v>
      </c>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63"/>
      <c r="AL35" s="763"/>
      <c r="AM35" s="763"/>
      <c r="AN35" s="763"/>
      <c r="AO35" s="763"/>
      <c r="AP35" s="763"/>
      <c r="AQ35" s="763"/>
      <c r="AR35" s="763"/>
      <c r="AS35" s="763"/>
      <c r="AT35" s="763"/>
      <c r="AU35" s="763"/>
      <c r="AV35" s="763"/>
      <c r="AW35" s="763"/>
      <c r="AX35" s="763"/>
      <c r="AY35" s="763"/>
      <c r="AZ35" s="764"/>
      <c r="BB35" s="297" t="s">
        <v>203</v>
      </c>
      <c r="BC35" s="294" t="s">
        <v>268</v>
      </c>
      <c r="BD35" s="84" t="s">
        <v>360</v>
      </c>
      <c r="BE35" s="84" t="e">
        <f>ABS(BE33-BE34)</f>
        <v>#REF!</v>
      </c>
      <c r="BF35" s="84" t="s">
        <v>97</v>
      </c>
      <c r="BG35" s="84" t="s">
        <v>97</v>
      </c>
      <c r="BH35" s="84"/>
      <c r="BI35" s="84" t="s">
        <v>97</v>
      </c>
      <c r="BJ35" s="84"/>
      <c r="BK35" s="84" t="s">
        <v>97</v>
      </c>
      <c r="BL35" s="84"/>
      <c r="BM35" s="84" t="s">
        <v>97</v>
      </c>
      <c r="BN35" s="84"/>
      <c r="BO35" s="84" t="s">
        <v>97</v>
      </c>
      <c r="BP35" s="84"/>
      <c r="BQ35" s="84" t="s">
        <v>97</v>
      </c>
      <c r="BR35" s="84"/>
      <c r="BS35" s="84" t="s">
        <v>97</v>
      </c>
      <c r="BT35" s="84"/>
      <c r="BU35" s="84" t="s">
        <v>97</v>
      </c>
      <c r="BV35" s="84"/>
      <c r="BW35" s="84" t="s">
        <v>97</v>
      </c>
      <c r="BX35" s="84"/>
      <c r="BY35" s="84" t="s">
        <v>97</v>
      </c>
      <c r="BZ35" s="84"/>
      <c r="CA35" s="84" t="s">
        <v>97</v>
      </c>
      <c r="CB35" s="84"/>
      <c r="CC35" s="84" t="s">
        <v>97</v>
      </c>
      <c r="CD35" s="84"/>
      <c r="CE35" s="84" t="s">
        <v>97</v>
      </c>
      <c r="CF35" s="84"/>
      <c r="CG35" s="84" t="s">
        <v>97</v>
      </c>
      <c r="CH35" s="84"/>
      <c r="CI35" s="84" t="s">
        <v>97</v>
      </c>
      <c r="CJ35" s="84"/>
      <c r="CK35" s="84" t="s">
        <v>97</v>
      </c>
      <c r="CL35" s="84"/>
      <c r="CM35" s="84" t="s">
        <v>97</v>
      </c>
      <c r="CN35" s="84"/>
      <c r="CO35" s="84" t="s">
        <v>97</v>
      </c>
      <c r="CP35" s="84"/>
      <c r="CQ35" s="84" t="s">
        <v>97</v>
      </c>
      <c r="CR35" s="84"/>
      <c r="CS35" s="84" t="s">
        <v>97</v>
      </c>
      <c r="CT35" s="84"/>
      <c r="CU35" s="84" t="s">
        <v>97</v>
      </c>
      <c r="CV35" s="84"/>
      <c r="CW35" s="637">
        <v>120</v>
      </c>
      <c r="CX35" s="637" t="s">
        <v>411</v>
      </c>
      <c r="CY35" s="637">
        <v>762600</v>
      </c>
      <c r="CZ35" s="637">
        <v>273000</v>
      </c>
      <c r="DA35" s="637">
        <v>4000</v>
      </c>
      <c r="DB35" s="637">
        <v>283100</v>
      </c>
    </row>
    <row r="36" spans="3:106" ht="18" customHeight="1">
      <c r="C36" s="569"/>
      <c r="D36" s="741"/>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742"/>
      <c r="AZ36" s="743"/>
      <c r="BB36" s="101">
        <v>5</v>
      </c>
      <c r="BC36" s="267" t="s">
        <v>22</v>
      </c>
      <c r="BD36" s="84" t="s">
        <v>360</v>
      </c>
      <c r="BE36" s="84">
        <f>F12</f>
        <v>0</v>
      </c>
      <c r="BF36" s="84" t="s">
        <v>97</v>
      </c>
      <c r="BG36" s="84" t="s">
        <v>97</v>
      </c>
      <c r="BH36" s="84"/>
      <c r="BI36" s="84" t="s">
        <v>97</v>
      </c>
      <c r="BJ36" s="84"/>
      <c r="BK36" s="84" t="s">
        <v>97</v>
      </c>
      <c r="BL36" s="84"/>
      <c r="BM36" s="84" t="s">
        <v>97</v>
      </c>
      <c r="BN36" s="84"/>
      <c r="BO36" s="84" t="s">
        <v>97</v>
      </c>
      <c r="BP36" s="84"/>
      <c r="BQ36" s="84" t="s">
        <v>97</v>
      </c>
      <c r="BR36" s="84"/>
      <c r="BS36" s="84" t="s">
        <v>97</v>
      </c>
      <c r="BT36" s="84"/>
      <c r="BU36" s="84" t="s">
        <v>97</v>
      </c>
      <c r="BV36" s="84"/>
      <c r="BW36" s="84" t="s">
        <v>97</v>
      </c>
      <c r="BX36" s="84"/>
      <c r="BY36" s="84" t="s">
        <v>97</v>
      </c>
      <c r="BZ36" s="84"/>
      <c r="CA36" s="84" t="s">
        <v>97</v>
      </c>
      <c r="CB36" s="84"/>
      <c r="CC36" s="84" t="s">
        <v>97</v>
      </c>
      <c r="CD36" s="84"/>
      <c r="CE36" s="84" t="s">
        <v>97</v>
      </c>
      <c r="CF36" s="84"/>
      <c r="CG36" s="84" t="s">
        <v>97</v>
      </c>
      <c r="CH36" s="84"/>
      <c r="CI36" s="84" t="s">
        <v>97</v>
      </c>
      <c r="CJ36" s="84"/>
      <c r="CK36" s="84" t="s">
        <v>97</v>
      </c>
      <c r="CL36" s="84"/>
      <c r="CM36" s="84" t="s">
        <v>97</v>
      </c>
      <c r="CN36" s="84"/>
      <c r="CO36" s="84" t="s">
        <v>97</v>
      </c>
      <c r="CP36" s="84"/>
      <c r="CQ36" s="84" t="s">
        <v>97</v>
      </c>
      <c r="CR36" s="84"/>
      <c r="CS36" s="84" t="s">
        <v>97</v>
      </c>
      <c r="CT36" s="84"/>
      <c r="CU36" s="84" t="s">
        <v>97</v>
      </c>
      <c r="CV36" s="84"/>
      <c r="CW36" s="637">
        <v>140</v>
      </c>
      <c r="CX36" s="637" t="s">
        <v>412</v>
      </c>
      <c r="CY36" s="637">
        <v>836700</v>
      </c>
      <c r="CZ36" s="637">
        <v>141000</v>
      </c>
      <c r="DA36" s="637">
        <v>0</v>
      </c>
      <c r="DB36" s="637">
        <v>141000</v>
      </c>
    </row>
    <row r="37" spans="3:106" ht="18" customHeight="1">
      <c r="C37" s="569"/>
      <c r="D37" s="759"/>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0"/>
      <c r="AY37" s="760"/>
      <c r="AZ37" s="761"/>
      <c r="BB37" s="293">
        <v>15</v>
      </c>
      <c r="BC37" s="294" t="s">
        <v>64</v>
      </c>
      <c r="BD37" s="84" t="s">
        <v>360</v>
      </c>
      <c r="BE37" s="84" t="e">
        <f>VLOOKUP(B3,CW7:CZ183,6,FALSE)</f>
        <v>#REF!</v>
      </c>
      <c r="BF37" s="84" t="s">
        <v>97</v>
      </c>
      <c r="BG37" s="84" t="s">
        <v>97</v>
      </c>
      <c r="BH37" s="84"/>
      <c r="BI37" s="84" t="s">
        <v>97</v>
      </c>
      <c r="BJ37" s="84"/>
      <c r="BK37" s="84" t="s">
        <v>97</v>
      </c>
      <c r="BL37" s="84"/>
      <c r="BM37" s="84" t="s">
        <v>97</v>
      </c>
      <c r="BN37" s="84"/>
      <c r="BO37" s="84" t="s">
        <v>97</v>
      </c>
      <c r="BP37" s="84"/>
      <c r="BQ37" s="84" t="s">
        <v>97</v>
      </c>
      <c r="BR37" s="84"/>
      <c r="BS37" s="84" t="s">
        <v>97</v>
      </c>
      <c r="BT37" s="84"/>
      <c r="BU37" s="84" t="s">
        <v>97</v>
      </c>
      <c r="BV37" s="84"/>
      <c r="BW37" s="84" t="s">
        <v>97</v>
      </c>
      <c r="BX37" s="84"/>
      <c r="BY37" s="84" t="s">
        <v>97</v>
      </c>
      <c r="BZ37" s="84"/>
      <c r="CA37" s="84" t="s">
        <v>97</v>
      </c>
      <c r="CB37" s="84"/>
      <c r="CC37" s="84" t="s">
        <v>97</v>
      </c>
      <c r="CD37" s="84"/>
      <c r="CE37" s="84" t="s">
        <v>97</v>
      </c>
      <c r="CF37" s="84"/>
      <c r="CG37" s="84" t="s">
        <v>97</v>
      </c>
      <c r="CH37" s="84"/>
      <c r="CI37" s="84" t="s">
        <v>97</v>
      </c>
      <c r="CJ37" s="84"/>
      <c r="CK37" s="84" t="s">
        <v>97</v>
      </c>
      <c r="CL37" s="84"/>
      <c r="CM37" s="84" t="s">
        <v>97</v>
      </c>
      <c r="CN37" s="84"/>
      <c r="CO37" s="84" t="s">
        <v>97</v>
      </c>
      <c r="CP37" s="84"/>
      <c r="CQ37" s="84" t="s">
        <v>97</v>
      </c>
      <c r="CR37" s="84"/>
      <c r="CS37" s="84" t="s">
        <v>97</v>
      </c>
      <c r="CT37" s="84"/>
      <c r="CU37" s="84" t="s">
        <v>97</v>
      </c>
      <c r="CV37" s="84"/>
      <c r="CW37" s="637">
        <v>148</v>
      </c>
      <c r="CX37" s="637" t="s">
        <v>413</v>
      </c>
      <c r="CY37" s="637">
        <v>413400</v>
      </c>
      <c r="CZ37" s="637">
        <v>15000</v>
      </c>
      <c r="DA37" s="637">
        <v>30700</v>
      </c>
      <c r="DB37" s="637">
        <v>45700</v>
      </c>
    </row>
    <row r="38" spans="3:106" ht="18" customHeight="1">
      <c r="C38" s="569"/>
      <c r="D38" s="759"/>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c r="AQ38" s="760"/>
      <c r="AR38" s="760"/>
      <c r="AS38" s="760"/>
      <c r="AT38" s="760"/>
      <c r="AU38" s="760"/>
      <c r="AV38" s="760"/>
      <c r="AW38" s="760"/>
      <c r="AX38" s="760"/>
      <c r="AY38" s="760"/>
      <c r="AZ38" s="761"/>
      <c r="BB38" s="325" t="s">
        <v>203</v>
      </c>
      <c r="BC38" s="326" t="s">
        <v>269</v>
      </c>
      <c r="BD38" s="99" t="s">
        <v>360</v>
      </c>
      <c r="BE38" s="99" t="e">
        <f>ABS(BE36-BE37)</f>
        <v>#REF!</v>
      </c>
      <c r="BF38" s="99" t="s">
        <v>97</v>
      </c>
      <c r="BG38" s="99" t="s">
        <v>97</v>
      </c>
      <c r="BH38" s="99"/>
      <c r="BI38" s="99" t="s">
        <v>97</v>
      </c>
      <c r="BJ38" s="99"/>
      <c r="BK38" s="99" t="s">
        <v>97</v>
      </c>
      <c r="BL38" s="99"/>
      <c r="BM38" s="99" t="s">
        <v>97</v>
      </c>
      <c r="BN38" s="99"/>
      <c r="BO38" s="99" t="s">
        <v>97</v>
      </c>
      <c r="BP38" s="99"/>
      <c r="BQ38" s="99" t="s">
        <v>97</v>
      </c>
      <c r="BR38" s="99"/>
      <c r="BS38" s="99" t="s">
        <v>97</v>
      </c>
      <c r="BT38" s="99"/>
      <c r="BU38" s="99" t="s">
        <v>97</v>
      </c>
      <c r="BV38" s="99"/>
      <c r="BW38" s="99" t="s">
        <v>97</v>
      </c>
      <c r="BX38" s="99"/>
      <c r="BY38" s="99" t="s">
        <v>97</v>
      </c>
      <c r="BZ38" s="99"/>
      <c r="CA38" s="99" t="s">
        <v>97</v>
      </c>
      <c r="CB38" s="99"/>
      <c r="CC38" s="99" t="s">
        <v>97</v>
      </c>
      <c r="CD38" s="99"/>
      <c r="CE38" s="99" t="s">
        <v>97</v>
      </c>
      <c r="CF38" s="99"/>
      <c r="CG38" s="99" t="s">
        <v>97</v>
      </c>
      <c r="CH38" s="99"/>
      <c r="CI38" s="99" t="s">
        <v>97</v>
      </c>
      <c r="CJ38" s="99"/>
      <c r="CK38" s="99" t="s">
        <v>97</v>
      </c>
      <c r="CL38" s="99"/>
      <c r="CM38" s="99" t="s">
        <v>97</v>
      </c>
      <c r="CN38" s="99"/>
      <c r="CO38" s="99" t="s">
        <v>97</v>
      </c>
      <c r="CP38" s="99"/>
      <c r="CQ38" s="99" t="s">
        <v>97</v>
      </c>
      <c r="CR38" s="99"/>
      <c r="CS38" s="99" t="s">
        <v>97</v>
      </c>
      <c r="CT38" s="99"/>
      <c r="CU38" s="99" t="s">
        <v>97</v>
      </c>
      <c r="CV38" s="99"/>
      <c r="CW38" s="637">
        <v>156</v>
      </c>
      <c r="CX38" s="637" t="s">
        <v>414</v>
      </c>
      <c r="CY38" s="637">
        <v>6192000</v>
      </c>
      <c r="CZ38" s="637">
        <v>2813000</v>
      </c>
      <c r="DA38" s="637">
        <v>17170</v>
      </c>
      <c r="DB38" s="637">
        <v>2840000</v>
      </c>
    </row>
    <row r="39" spans="3:106" ht="18" customHeight="1">
      <c r="C39" s="569"/>
      <c r="D39" s="759"/>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1"/>
      <c r="BB39" s="327" t="s">
        <v>66</v>
      </c>
      <c r="BC39" s="328" t="s">
        <v>67</v>
      </c>
      <c r="CW39" s="637">
        <v>344</v>
      </c>
      <c r="CX39" s="637" t="s">
        <v>418</v>
      </c>
      <c r="CY39" s="637"/>
      <c r="CZ39" s="637"/>
      <c r="DA39" s="637"/>
      <c r="DB39" s="637"/>
    </row>
    <row r="40" spans="3:106" ht="18" customHeight="1">
      <c r="C40" s="569"/>
      <c r="D40" s="759"/>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0"/>
      <c r="AY40" s="760"/>
      <c r="AZ40" s="761"/>
      <c r="BB40" s="327" t="s">
        <v>68</v>
      </c>
      <c r="BC40" s="328" t="s">
        <v>69</v>
      </c>
      <c r="CW40" s="637">
        <v>446</v>
      </c>
      <c r="CX40" s="637" t="s">
        <v>419</v>
      </c>
      <c r="CY40" s="637"/>
      <c r="CZ40" s="637"/>
      <c r="DA40" s="637"/>
      <c r="DB40" s="637"/>
    </row>
    <row r="41" spans="3:106" ht="18" customHeight="1">
      <c r="C41" s="569"/>
      <c r="D41" s="759"/>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1"/>
      <c r="BB41" s="329" t="s">
        <v>71</v>
      </c>
      <c r="BC41" s="328" t="s">
        <v>73</v>
      </c>
      <c r="BD41" s="330"/>
      <c r="CW41" s="637">
        <v>170</v>
      </c>
      <c r="CX41" s="637" t="s">
        <v>420</v>
      </c>
      <c r="CY41" s="637">
        <v>3699000</v>
      </c>
      <c r="CZ41" s="637">
        <v>2145000</v>
      </c>
      <c r="DA41" s="637">
        <v>215000</v>
      </c>
      <c r="DB41" s="637">
        <v>2360000</v>
      </c>
    </row>
    <row r="42" spans="3:106" ht="18" customHeight="1">
      <c r="C42" s="569"/>
      <c r="D42" s="759"/>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0"/>
      <c r="AY42" s="760"/>
      <c r="AZ42" s="761"/>
      <c r="BB42" s="329" t="s">
        <v>70</v>
      </c>
      <c r="BC42" s="328" t="s">
        <v>14</v>
      </c>
      <c r="BD42" s="330"/>
      <c r="CW42" s="637">
        <v>174</v>
      </c>
      <c r="CX42" s="637" t="s">
        <v>421</v>
      </c>
      <c r="CY42" s="637">
        <v>1675</v>
      </c>
      <c r="CZ42" s="637">
        <v>1200</v>
      </c>
      <c r="DA42" s="637">
        <v>0</v>
      </c>
      <c r="DB42" s="637">
        <v>1200</v>
      </c>
    </row>
    <row r="43" spans="3:106" ht="18" customHeight="1">
      <c r="C43" s="569"/>
      <c r="D43" s="759"/>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760"/>
      <c r="AQ43" s="760"/>
      <c r="AR43" s="760"/>
      <c r="AS43" s="760"/>
      <c r="AT43" s="760"/>
      <c r="AU43" s="760"/>
      <c r="AV43" s="760"/>
      <c r="AW43" s="760"/>
      <c r="AX43" s="760"/>
      <c r="AY43" s="760"/>
      <c r="AZ43" s="761"/>
      <c r="BB43" s="327" t="s">
        <v>72</v>
      </c>
      <c r="BC43" s="328" t="s">
        <v>74</v>
      </c>
      <c r="BD43" s="330"/>
      <c r="CW43" s="637">
        <v>178</v>
      </c>
      <c r="CX43" s="637" t="s">
        <v>422</v>
      </c>
      <c r="CY43" s="637">
        <v>562900</v>
      </c>
      <c r="CZ43" s="637">
        <v>222000</v>
      </c>
      <c r="DA43" s="637">
        <v>52000</v>
      </c>
      <c r="DB43" s="637">
        <v>832000</v>
      </c>
    </row>
    <row r="44" spans="3:106" ht="18" customHeight="1">
      <c r="C44" s="569"/>
      <c r="D44" s="759"/>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760"/>
      <c r="AQ44" s="760"/>
      <c r="AR44" s="760"/>
      <c r="AS44" s="760"/>
      <c r="AT44" s="760"/>
      <c r="AU44" s="760"/>
      <c r="AV44" s="760"/>
      <c r="AW44" s="760"/>
      <c r="AX44" s="760"/>
      <c r="AY44" s="760"/>
      <c r="AZ44" s="761"/>
      <c r="BD44" s="330"/>
      <c r="CW44" s="637">
        <v>188</v>
      </c>
      <c r="CX44" s="637" t="s">
        <v>423</v>
      </c>
      <c r="CY44" s="637">
        <v>149500</v>
      </c>
      <c r="CZ44" s="637">
        <v>113000</v>
      </c>
      <c r="DA44" s="637">
        <v>0</v>
      </c>
      <c r="DB44" s="637">
        <v>113000</v>
      </c>
    </row>
    <row r="45" spans="3:106" ht="18" customHeight="1">
      <c r="C45" s="569"/>
      <c r="D45" s="759"/>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0"/>
      <c r="AY45" s="760"/>
      <c r="AZ45" s="761"/>
      <c r="CW45" s="637">
        <v>384</v>
      </c>
      <c r="CX45" s="637" t="s">
        <v>174</v>
      </c>
      <c r="CY45" s="637">
        <v>434700</v>
      </c>
      <c r="CZ45" s="637">
        <v>76840</v>
      </c>
      <c r="DA45" s="637">
        <v>4300</v>
      </c>
      <c r="DB45" s="637">
        <v>84140</v>
      </c>
    </row>
    <row r="46" spans="3:106" ht="18" customHeight="1">
      <c r="C46" s="569"/>
      <c r="D46" s="759"/>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0"/>
      <c r="AY46" s="760"/>
      <c r="AZ46" s="761"/>
      <c r="BD46" s="330"/>
      <c r="CW46" s="637">
        <v>191</v>
      </c>
      <c r="CX46" s="637" t="s">
        <v>424</v>
      </c>
      <c r="CY46" s="637">
        <v>62980</v>
      </c>
      <c r="CZ46" s="637">
        <v>37700</v>
      </c>
      <c r="DA46" s="637">
        <v>33470</v>
      </c>
      <c r="DB46" s="637">
        <v>105500</v>
      </c>
    </row>
    <row r="47" spans="3:106" ht="18" customHeight="1">
      <c r="C47" s="569"/>
      <c r="D47" s="759"/>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1"/>
      <c r="BB47" s="330"/>
      <c r="BC47" s="330"/>
      <c r="BD47" s="330"/>
      <c r="CW47" s="637">
        <v>192</v>
      </c>
      <c r="CX47" s="637" t="s">
        <v>425</v>
      </c>
      <c r="CY47" s="637">
        <v>146700</v>
      </c>
      <c r="CZ47" s="637">
        <v>38120</v>
      </c>
      <c r="DA47" s="637">
        <v>0</v>
      </c>
      <c r="DB47" s="637">
        <v>38120</v>
      </c>
    </row>
    <row r="48" spans="3:106" ht="18" customHeight="1">
      <c r="C48" s="569"/>
      <c r="D48" s="759"/>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0"/>
      <c r="AY48" s="760"/>
      <c r="AZ48" s="761"/>
      <c r="CW48" s="637">
        <v>196</v>
      </c>
      <c r="CX48" s="637" t="s">
        <v>426</v>
      </c>
      <c r="CY48" s="637">
        <v>4606</v>
      </c>
      <c r="CZ48" s="637">
        <v>780</v>
      </c>
      <c r="DA48" s="637">
        <v>0</v>
      </c>
      <c r="DB48" s="637">
        <v>780</v>
      </c>
    </row>
    <row r="49" spans="3:106" ht="18" customHeight="1">
      <c r="C49" s="569"/>
      <c r="D49" s="759"/>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0"/>
      <c r="AY49" s="760"/>
      <c r="AZ49" s="761"/>
      <c r="CW49" s="637">
        <v>408</v>
      </c>
      <c r="CX49" s="637" t="s">
        <v>175</v>
      </c>
      <c r="CY49" s="637">
        <v>127000</v>
      </c>
      <c r="CZ49" s="637">
        <v>67000</v>
      </c>
      <c r="DA49" s="637">
        <v>0</v>
      </c>
      <c r="DB49" s="637">
        <v>77150</v>
      </c>
    </row>
    <row r="50" spans="3:106" ht="18" customHeight="1">
      <c r="C50" s="569"/>
      <c r="D50" s="759"/>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0"/>
      <c r="AY50" s="760"/>
      <c r="AZ50" s="761"/>
      <c r="CW50" s="637">
        <v>180</v>
      </c>
      <c r="CX50" s="637" t="s">
        <v>176</v>
      </c>
      <c r="CY50" s="637">
        <v>3618000</v>
      </c>
      <c r="CZ50" s="637">
        <v>900000</v>
      </c>
      <c r="DA50" s="637">
        <v>383000</v>
      </c>
      <c r="DB50" s="637">
        <v>1283000</v>
      </c>
    </row>
    <row r="51" spans="3:106" ht="18" customHeight="1">
      <c r="C51" s="569"/>
      <c r="D51" s="759"/>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0"/>
      <c r="AY51" s="760"/>
      <c r="AZ51" s="761"/>
      <c r="CW51" s="637">
        <v>262</v>
      </c>
      <c r="CX51" s="637" t="s">
        <v>427</v>
      </c>
      <c r="CY51" s="637">
        <v>5104</v>
      </c>
      <c r="CZ51" s="637">
        <v>300</v>
      </c>
      <c r="DA51" s="637">
        <v>0</v>
      </c>
      <c r="DB51" s="637">
        <v>300</v>
      </c>
    </row>
    <row r="52" spans="3:106" ht="18" customHeight="1">
      <c r="C52" s="569"/>
      <c r="D52" s="759"/>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0"/>
      <c r="AY52" s="760"/>
      <c r="AZ52" s="761"/>
      <c r="CW52" s="637">
        <v>212</v>
      </c>
      <c r="CX52" s="637" t="s">
        <v>428</v>
      </c>
      <c r="CY52" s="637">
        <v>1562</v>
      </c>
      <c r="CZ52" s="637">
        <v>200</v>
      </c>
      <c r="DA52" s="637">
        <v>0</v>
      </c>
      <c r="DB52" s="637">
        <v>200</v>
      </c>
    </row>
    <row r="53" spans="3:106" ht="18" customHeight="1">
      <c r="C53" s="569"/>
      <c r="D53" s="759"/>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0"/>
      <c r="AY53" s="760"/>
      <c r="AZ53" s="761"/>
      <c r="CW53" s="637">
        <v>214</v>
      </c>
      <c r="CX53" s="637" t="s">
        <v>429</v>
      </c>
      <c r="CY53" s="637">
        <v>68620</v>
      </c>
      <c r="CZ53" s="637">
        <v>23500</v>
      </c>
      <c r="DA53" s="637">
        <v>0</v>
      </c>
      <c r="DB53" s="637">
        <v>23500</v>
      </c>
    </row>
    <row r="54" spans="3:106" ht="18" customHeight="1">
      <c r="C54" s="569"/>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0"/>
      <c r="AY54" s="760"/>
      <c r="AZ54" s="761"/>
      <c r="CW54" s="637">
        <v>218</v>
      </c>
      <c r="CX54" s="637" t="s">
        <v>430</v>
      </c>
      <c r="CY54" s="637">
        <v>535000</v>
      </c>
      <c r="CZ54" s="637">
        <v>442400</v>
      </c>
      <c r="DA54" s="637">
        <v>0</v>
      </c>
      <c r="DB54" s="637">
        <v>442400</v>
      </c>
    </row>
    <row r="55" spans="3:106" ht="18" customHeight="1">
      <c r="C55" s="569"/>
      <c r="D55" s="759"/>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0"/>
      <c r="AY55" s="760"/>
      <c r="AZ55" s="761"/>
      <c r="CW55" s="637">
        <v>818</v>
      </c>
      <c r="CX55" s="637" t="s">
        <v>431</v>
      </c>
      <c r="CY55" s="637">
        <v>51070</v>
      </c>
      <c r="CZ55" s="637">
        <v>1800</v>
      </c>
      <c r="DA55" s="637">
        <v>85000</v>
      </c>
      <c r="DB55" s="637">
        <v>58300</v>
      </c>
    </row>
    <row r="56" spans="3:106" ht="18" customHeight="1">
      <c r="C56" s="569"/>
      <c r="D56" s="759"/>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0"/>
      <c r="AY56" s="760"/>
      <c r="AZ56" s="761"/>
      <c r="CW56" s="637">
        <v>222</v>
      </c>
      <c r="CX56" s="637" t="s">
        <v>432</v>
      </c>
      <c r="CY56" s="637">
        <v>37540</v>
      </c>
      <c r="CZ56" s="637">
        <v>15630</v>
      </c>
      <c r="DA56" s="637">
        <v>10640</v>
      </c>
      <c r="DB56" s="637">
        <v>26270</v>
      </c>
    </row>
    <row r="57" spans="3:106" ht="18" customHeight="1">
      <c r="C57" s="570"/>
      <c r="D57" s="771"/>
      <c r="E57" s="772"/>
      <c r="F57" s="772"/>
      <c r="G57" s="772"/>
      <c r="H57" s="772"/>
      <c r="I57" s="772"/>
      <c r="J57" s="772"/>
      <c r="K57" s="772"/>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772"/>
      <c r="AI57" s="772"/>
      <c r="AJ57" s="772"/>
      <c r="AK57" s="772"/>
      <c r="AL57" s="772"/>
      <c r="AM57" s="772"/>
      <c r="AN57" s="772"/>
      <c r="AO57" s="772"/>
      <c r="AP57" s="772"/>
      <c r="AQ57" s="772"/>
      <c r="AR57" s="772"/>
      <c r="AS57" s="772"/>
      <c r="AT57" s="772"/>
      <c r="AU57" s="772"/>
      <c r="AV57" s="772"/>
      <c r="AW57" s="772"/>
      <c r="AX57" s="772"/>
      <c r="AY57" s="772"/>
      <c r="AZ57" s="773"/>
      <c r="CW57" s="637">
        <v>226</v>
      </c>
      <c r="CX57" s="637" t="s">
        <v>433</v>
      </c>
      <c r="CY57" s="637">
        <v>60480</v>
      </c>
      <c r="CZ57" s="637">
        <v>26000</v>
      </c>
      <c r="DA57" s="637">
        <v>0</v>
      </c>
      <c r="DB57" s="637">
        <v>26000</v>
      </c>
    </row>
    <row r="58" spans="3:106" ht="16.5" customHeight="1">
      <c r="C58" s="769"/>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331"/>
      <c r="AQ58" s="331"/>
      <c r="AR58" s="331"/>
      <c r="AS58" s="331"/>
      <c r="CW58" s="637">
        <v>232</v>
      </c>
      <c r="CX58" s="637" t="s">
        <v>434</v>
      </c>
      <c r="CY58" s="637">
        <v>45160</v>
      </c>
      <c r="CZ58" s="637">
        <v>2800</v>
      </c>
      <c r="DA58" s="637">
        <v>0</v>
      </c>
      <c r="DB58" s="637">
        <v>6300</v>
      </c>
    </row>
    <row r="59" spans="3:106" ht="13.5">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331"/>
      <c r="AQ59" s="331"/>
      <c r="AR59" s="331"/>
      <c r="AS59" s="331"/>
      <c r="CW59" s="637">
        <v>231</v>
      </c>
      <c r="CX59" s="637" t="s">
        <v>435</v>
      </c>
      <c r="CY59" s="637">
        <v>936400</v>
      </c>
      <c r="CZ59" s="637">
        <v>122000</v>
      </c>
      <c r="DA59" s="637">
        <v>0</v>
      </c>
      <c r="DB59" s="637">
        <v>122000</v>
      </c>
    </row>
    <row r="60" spans="101:106" ht="13.5">
      <c r="CW60" s="637">
        <v>234</v>
      </c>
      <c r="CX60" s="637" t="s">
        <v>588</v>
      </c>
      <c r="CY60" s="637"/>
      <c r="CZ60" s="637"/>
      <c r="DA60" s="637">
        <v>0</v>
      </c>
      <c r="DB60" s="637"/>
    </row>
    <row r="61" spans="101:106" ht="13.5">
      <c r="CW61" s="637">
        <v>242</v>
      </c>
      <c r="CX61" s="637" t="s">
        <v>436</v>
      </c>
      <c r="CY61" s="637">
        <v>47360</v>
      </c>
      <c r="CZ61" s="637">
        <v>28550</v>
      </c>
      <c r="DA61" s="637">
        <v>0</v>
      </c>
      <c r="DB61" s="637">
        <v>28550</v>
      </c>
    </row>
    <row r="62" spans="101:106" ht="13.5">
      <c r="CW62" s="637">
        <v>254</v>
      </c>
      <c r="CX62" s="637" t="s">
        <v>437</v>
      </c>
      <c r="CY62" s="637"/>
      <c r="CZ62" s="637"/>
      <c r="DA62" s="637"/>
      <c r="DB62" s="637"/>
    </row>
    <row r="63" spans="101:106" ht="13.5">
      <c r="CW63" s="637">
        <v>266</v>
      </c>
      <c r="CX63" s="637" t="s">
        <v>438</v>
      </c>
      <c r="CY63" s="637">
        <v>490100</v>
      </c>
      <c r="CZ63" s="637">
        <v>164000</v>
      </c>
      <c r="DA63" s="637">
        <v>200</v>
      </c>
      <c r="DB63" s="637">
        <v>166000</v>
      </c>
    </row>
    <row r="64" spans="101:106" ht="13.5">
      <c r="CW64" s="637">
        <v>270</v>
      </c>
      <c r="CX64" s="637" t="s">
        <v>439</v>
      </c>
      <c r="CY64" s="637">
        <v>9447</v>
      </c>
      <c r="CZ64" s="637">
        <v>3000</v>
      </c>
      <c r="DA64" s="637">
        <v>5000</v>
      </c>
      <c r="DB64" s="637">
        <v>8000</v>
      </c>
    </row>
    <row r="65" spans="101:106" ht="13.5">
      <c r="CW65" s="637">
        <v>268</v>
      </c>
      <c r="CX65" s="637" t="s">
        <v>440</v>
      </c>
      <c r="CY65" s="637">
        <v>71510</v>
      </c>
      <c r="CZ65" s="637">
        <v>58130</v>
      </c>
      <c r="DA65" s="637">
        <v>8350</v>
      </c>
      <c r="DB65" s="637">
        <v>63330</v>
      </c>
    </row>
    <row r="66" spans="101:106" ht="13.5">
      <c r="CW66" s="637">
        <v>288</v>
      </c>
      <c r="CX66" s="637" t="s">
        <v>441</v>
      </c>
      <c r="CY66" s="637">
        <v>283100</v>
      </c>
      <c r="CZ66" s="637">
        <v>30300</v>
      </c>
      <c r="DA66" s="637">
        <v>25900</v>
      </c>
      <c r="DB66" s="637">
        <v>56200</v>
      </c>
    </row>
    <row r="67" spans="101:106" ht="13.5">
      <c r="CW67" s="637">
        <v>304</v>
      </c>
      <c r="CX67" s="637" t="s">
        <v>442</v>
      </c>
      <c r="CY67" s="637"/>
      <c r="CZ67" s="637"/>
      <c r="DA67" s="637"/>
      <c r="DB67" s="637"/>
    </row>
    <row r="68" spans="101:106" ht="13.5">
      <c r="CW68" s="637">
        <v>308</v>
      </c>
      <c r="CX68" s="637" t="s">
        <v>443</v>
      </c>
      <c r="CY68" s="637">
        <v>799</v>
      </c>
      <c r="CZ68" s="637">
        <v>200</v>
      </c>
      <c r="DA68" s="637">
        <v>0</v>
      </c>
      <c r="DB68" s="637">
        <v>200</v>
      </c>
    </row>
    <row r="69" spans="101:106" ht="13.5">
      <c r="CW69" s="637">
        <v>312</v>
      </c>
      <c r="CX69" s="637" t="s">
        <v>444</v>
      </c>
      <c r="CY69" s="637"/>
      <c r="CZ69" s="637"/>
      <c r="DA69" s="637"/>
      <c r="DB69" s="637"/>
    </row>
    <row r="70" spans="101:106" ht="13.5">
      <c r="CW70" s="637">
        <v>320</v>
      </c>
      <c r="CX70" s="637" t="s">
        <v>445</v>
      </c>
      <c r="CY70" s="637">
        <v>217300</v>
      </c>
      <c r="CZ70" s="637">
        <v>109200</v>
      </c>
      <c r="DA70" s="637">
        <v>18710</v>
      </c>
      <c r="DB70" s="637">
        <v>127900</v>
      </c>
    </row>
    <row r="71" spans="101:106" ht="13.5">
      <c r="CW71" s="637">
        <v>324</v>
      </c>
      <c r="CX71" s="637" t="s">
        <v>446</v>
      </c>
      <c r="CY71" s="637">
        <v>405900</v>
      </c>
      <c r="CZ71" s="637">
        <v>226000</v>
      </c>
      <c r="DA71" s="637">
        <v>0</v>
      </c>
      <c r="DB71" s="637">
        <v>226000</v>
      </c>
    </row>
    <row r="72" spans="101:106" ht="13.5">
      <c r="CW72" s="637">
        <v>624</v>
      </c>
      <c r="CX72" s="637" t="s">
        <v>447</v>
      </c>
      <c r="CY72" s="637">
        <v>56980</v>
      </c>
      <c r="CZ72" s="637">
        <v>16000</v>
      </c>
      <c r="DA72" s="637">
        <v>15400</v>
      </c>
      <c r="DB72" s="637">
        <v>31400</v>
      </c>
    </row>
    <row r="73" spans="101:106" ht="13.5">
      <c r="CW73" s="637">
        <v>328</v>
      </c>
      <c r="CX73" s="637" t="s">
        <v>453</v>
      </c>
      <c r="CY73" s="637">
        <v>513100</v>
      </c>
      <c r="CZ73" s="637">
        <v>241000</v>
      </c>
      <c r="DA73" s="637">
        <v>30000</v>
      </c>
      <c r="DB73" s="637">
        <v>271000</v>
      </c>
    </row>
    <row r="74" spans="101:106" ht="13.5">
      <c r="CW74" s="637">
        <v>332</v>
      </c>
      <c r="CX74" s="637" t="s">
        <v>454</v>
      </c>
      <c r="CY74" s="637">
        <v>39960</v>
      </c>
      <c r="CZ74" s="637">
        <v>13010</v>
      </c>
      <c r="DA74" s="637">
        <v>1015</v>
      </c>
      <c r="DB74" s="637">
        <v>14030</v>
      </c>
    </row>
    <row r="75" spans="101:106" ht="13.5">
      <c r="CW75" s="637">
        <v>336</v>
      </c>
      <c r="CX75" s="637" t="s">
        <v>589</v>
      </c>
      <c r="CY75" s="637"/>
      <c r="CZ75" s="637"/>
      <c r="DA75" s="637"/>
      <c r="DB75" s="637"/>
    </row>
    <row r="76" spans="101:106" ht="13.5">
      <c r="CW76" s="637">
        <v>340</v>
      </c>
      <c r="CX76" s="637" t="s">
        <v>455</v>
      </c>
      <c r="CY76" s="637">
        <v>222300</v>
      </c>
      <c r="CZ76" s="637">
        <v>90660</v>
      </c>
      <c r="DA76" s="637">
        <v>1504</v>
      </c>
      <c r="DB76" s="637">
        <v>92160</v>
      </c>
    </row>
    <row r="77" spans="101:106" ht="13.5">
      <c r="CW77" s="637">
        <v>356</v>
      </c>
      <c r="CX77" s="637" t="s">
        <v>456</v>
      </c>
      <c r="CY77" s="637">
        <v>3560000</v>
      </c>
      <c r="CZ77" s="637">
        <v>1446000</v>
      </c>
      <c r="DA77" s="637">
        <v>635200</v>
      </c>
      <c r="DB77" s="637">
        <v>1911000</v>
      </c>
    </row>
    <row r="78" spans="101:106" ht="13.5">
      <c r="CW78" s="637">
        <v>360</v>
      </c>
      <c r="CX78" s="637" t="s">
        <v>457</v>
      </c>
      <c r="CY78" s="637">
        <v>5163000</v>
      </c>
      <c r="CZ78" s="637">
        <v>2019000</v>
      </c>
      <c r="DA78" s="637">
        <v>0</v>
      </c>
      <c r="DB78" s="637">
        <v>2019000</v>
      </c>
    </row>
    <row r="79" spans="101:106" ht="13.5">
      <c r="CW79" s="637">
        <v>364</v>
      </c>
      <c r="CX79" s="637" t="s">
        <v>458</v>
      </c>
      <c r="CY79" s="637">
        <v>397900</v>
      </c>
      <c r="CZ79" s="637">
        <v>128500</v>
      </c>
      <c r="DA79" s="637">
        <v>7770</v>
      </c>
      <c r="DB79" s="637">
        <v>137000</v>
      </c>
    </row>
    <row r="80" spans="101:106" ht="13.5">
      <c r="CW80" s="637">
        <v>368</v>
      </c>
      <c r="CX80" s="637" t="s">
        <v>459</v>
      </c>
      <c r="CY80" s="637">
        <v>94010</v>
      </c>
      <c r="CZ80" s="637">
        <v>35200</v>
      </c>
      <c r="DA80" s="637">
        <v>61410</v>
      </c>
      <c r="DB80" s="637">
        <v>89860</v>
      </c>
    </row>
    <row r="81" spans="101:106" ht="13.5">
      <c r="CW81" s="637">
        <v>376</v>
      </c>
      <c r="CX81" s="637" t="s">
        <v>460</v>
      </c>
      <c r="CY81" s="637">
        <v>9600</v>
      </c>
      <c r="CZ81" s="637">
        <v>750</v>
      </c>
      <c r="DA81" s="637">
        <v>1030</v>
      </c>
      <c r="DB81" s="637">
        <v>1780</v>
      </c>
    </row>
    <row r="82" spans="101:106" ht="13.5">
      <c r="CW82" s="637">
        <v>388</v>
      </c>
      <c r="CX82" s="637" t="s">
        <v>461</v>
      </c>
      <c r="CY82" s="637">
        <v>22540</v>
      </c>
      <c r="CZ82" s="637">
        <v>10820</v>
      </c>
      <c r="DA82" s="637">
        <v>0</v>
      </c>
      <c r="DB82" s="637">
        <v>10820</v>
      </c>
    </row>
    <row r="83" spans="101:106" ht="13.5">
      <c r="CW83" s="637">
        <v>400</v>
      </c>
      <c r="CX83" s="637" t="s">
        <v>462</v>
      </c>
      <c r="CY83" s="637">
        <v>9915</v>
      </c>
      <c r="CZ83" s="637">
        <v>682</v>
      </c>
      <c r="DA83" s="637">
        <v>670</v>
      </c>
      <c r="DB83" s="637">
        <v>937</v>
      </c>
    </row>
    <row r="84" spans="101:106" ht="13.5">
      <c r="CW84" s="637">
        <v>398</v>
      </c>
      <c r="CX84" s="637" t="s">
        <v>463</v>
      </c>
      <c r="CY84" s="637">
        <v>681200</v>
      </c>
      <c r="CZ84" s="637">
        <v>64350</v>
      </c>
      <c r="DA84" s="637">
        <v>72040</v>
      </c>
      <c r="DB84" s="637">
        <v>108400</v>
      </c>
    </row>
    <row r="85" spans="101:106" ht="13.5">
      <c r="CW85" s="637">
        <v>404</v>
      </c>
      <c r="CX85" s="637" t="s">
        <v>464</v>
      </c>
      <c r="CY85" s="637">
        <v>365600</v>
      </c>
      <c r="CZ85" s="637">
        <v>20700</v>
      </c>
      <c r="DA85" s="637">
        <v>10000</v>
      </c>
      <c r="DB85" s="637">
        <v>30700</v>
      </c>
    </row>
    <row r="86" spans="101:106" ht="13.5">
      <c r="CW86" s="637">
        <v>296</v>
      </c>
      <c r="CX86" s="637" t="s">
        <v>177</v>
      </c>
      <c r="CY86" s="637"/>
      <c r="CZ86" s="637"/>
      <c r="DA86" s="637">
        <v>0</v>
      </c>
      <c r="DB86" s="637"/>
    </row>
    <row r="87" spans="101:106" ht="13.5">
      <c r="CW87" s="637">
        <v>414</v>
      </c>
      <c r="CX87" s="637" t="s">
        <v>465</v>
      </c>
      <c r="CY87" s="637">
        <v>2156</v>
      </c>
      <c r="CZ87" s="637">
        <v>0</v>
      </c>
      <c r="DA87" s="637">
        <v>20</v>
      </c>
      <c r="DB87" s="637">
        <v>20</v>
      </c>
    </row>
    <row r="88" spans="101:106" ht="13.5">
      <c r="CW88" s="637">
        <v>417</v>
      </c>
      <c r="CX88" s="637" t="s">
        <v>466</v>
      </c>
      <c r="CY88" s="637">
        <v>106600</v>
      </c>
      <c r="CZ88" s="637">
        <v>48930</v>
      </c>
      <c r="DA88" s="637">
        <v>558</v>
      </c>
      <c r="DB88" s="637">
        <v>23620</v>
      </c>
    </row>
    <row r="89" spans="101:106" ht="13.5">
      <c r="CW89" s="637">
        <v>418</v>
      </c>
      <c r="CX89" s="637" t="s">
        <v>178</v>
      </c>
      <c r="CY89" s="637">
        <v>434300</v>
      </c>
      <c r="CZ89" s="637">
        <v>190400</v>
      </c>
      <c r="DA89" s="637">
        <v>143100</v>
      </c>
      <c r="DB89" s="637">
        <v>333500</v>
      </c>
    </row>
    <row r="90" spans="101:106" ht="13.5">
      <c r="CW90" s="637">
        <v>428</v>
      </c>
      <c r="CX90" s="637" t="s">
        <v>467</v>
      </c>
      <c r="CY90" s="637">
        <v>43010</v>
      </c>
      <c r="CZ90" s="637">
        <v>16940</v>
      </c>
      <c r="DA90" s="637">
        <v>18000</v>
      </c>
      <c r="DB90" s="637">
        <v>34940</v>
      </c>
    </row>
    <row r="91" spans="101:106" ht="13.5">
      <c r="CW91" s="637">
        <v>422</v>
      </c>
      <c r="CX91" s="637" t="s">
        <v>468</v>
      </c>
      <c r="CY91" s="637">
        <v>6907</v>
      </c>
      <c r="CZ91" s="637">
        <v>4800</v>
      </c>
      <c r="DA91" s="637">
        <v>0</v>
      </c>
      <c r="DB91" s="637">
        <v>4503</v>
      </c>
    </row>
    <row r="92" spans="101:106" ht="13.5">
      <c r="CW92" s="637">
        <v>426</v>
      </c>
      <c r="CX92" s="637" t="s">
        <v>469</v>
      </c>
      <c r="CY92" s="637">
        <v>23920</v>
      </c>
      <c r="CZ92" s="637">
        <v>5230</v>
      </c>
      <c r="DA92" s="637">
        <v>0</v>
      </c>
      <c r="DB92" s="637">
        <v>3022</v>
      </c>
    </row>
    <row r="93" spans="101:106" ht="13.5">
      <c r="CW93" s="637">
        <v>430</v>
      </c>
      <c r="CX93" s="637" t="s">
        <v>470</v>
      </c>
      <c r="CY93" s="637">
        <v>266300</v>
      </c>
      <c r="CZ93" s="637">
        <v>200000</v>
      </c>
      <c r="DA93" s="637">
        <v>32000</v>
      </c>
      <c r="DB93" s="637">
        <v>232000</v>
      </c>
    </row>
    <row r="94" spans="101:106" ht="13.5">
      <c r="CW94" s="637">
        <v>434</v>
      </c>
      <c r="CX94" s="637" t="s">
        <v>179</v>
      </c>
      <c r="CY94" s="637">
        <v>98530</v>
      </c>
      <c r="CZ94" s="637">
        <v>700</v>
      </c>
      <c r="DA94" s="637">
        <v>0</v>
      </c>
      <c r="DB94" s="637">
        <v>700</v>
      </c>
    </row>
    <row r="95" spans="101:106" ht="13.5">
      <c r="CW95" s="637">
        <v>438</v>
      </c>
      <c r="CX95" s="637" t="s">
        <v>180</v>
      </c>
      <c r="CY95" s="637"/>
      <c r="CZ95" s="637"/>
      <c r="DA95" s="637"/>
      <c r="DB95" s="637"/>
    </row>
    <row r="96" spans="101:106" ht="13.5">
      <c r="CW96" s="637">
        <v>440</v>
      </c>
      <c r="CX96" s="637" t="s">
        <v>471</v>
      </c>
      <c r="CY96" s="637">
        <v>42840</v>
      </c>
      <c r="CZ96" s="637">
        <v>15460</v>
      </c>
      <c r="DA96" s="637">
        <v>9040</v>
      </c>
      <c r="DB96" s="637">
        <v>24500</v>
      </c>
    </row>
    <row r="97" spans="101:106" ht="13.5">
      <c r="CW97" s="637">
        <v>450</v>
      </c>
      <c r="CX97" s="637" t="s">
        <v>472</v>
      </c>
      <c r="CY97" s="637">
        <v>888600</v>
      </c>
      <c r="CZ97" s="637">
        <v>337000</v>
      </c>
      <c r="DA97" s="637">
        <v>0</v>
      </c>
      <c r="DB97" s="637">
        <v>337000</v>
      </c>
    </row>
    <row r="98" spans="101:106" ht="13.5">
      <c r="CW98" s="637">
        <v>454</v>
      </c>
      <c r="CX98" s="637" t="s">
        <v>473</v>
      </c>
      <c r="CY98" s="637">
        <v>139900</v>
      </c>
      <c r="CZ98" s="637">
        <v>16140</v>
      </c>
      <c r="DA98" s="637">
        <v>1000</v>
      </c>
      <c r="DB98" s="637">
        <v>17280</v>
      </c>
    </row>
    <row r="99" spans="101:106" ht="13.5">
      <c r="CW99" s="637">
        <v>458</v>
      </c>
      <c r="CX99" s="637" t="s">
        <v>474</v>
      </c>
      <c r="CY99" s="637">
        <v>951000</v>
      </c>
      <c r="CZ99" s="637">
        <v>580000</v>
      </c>
      <c r="DA99" s="637">
        <v>0</v>
      </c>
      <c r="DB99" s="637">
        <v>580000</v>
      </c>
    </row>
    <row r="100" spans="101:106" ht="13.5">
      <c r="CW100" s="637">
        <v>462</v>
      </c>
      <c r="CX100" s="637" t="s">
        <v>475</v>
      </c>
      <c r="CY100" s="637">
        <v>591.6</v>
      </c>
      <c r="CZ100" s="637">
        <v>30</v>
      </c>
      <c r="DA100" s="637">
        <v>0</v>
      </c>
      <c r="DB100" s="637">
        <v>30</v>
      </c>
    </row>
    <row r="101" spans="101:106" ht="13.5">
      <c r="CW101" s="637">
        <v>466</v>
      </c>
      <c r="CX101" s="637" t="s">
        <v>476</v>
      </c>
      <c r="CY101" s="637">
        <v>349700</v>
      </c>
      <c r="CZ101" s="637">
        <v>60000</v>
      </c>
      <c r="DA101" s="637">
        <v>60000</v>
      </c>
      <c r="DB101" s="637">
        <v>120000</v>
      </c>
    </row>
    <row r="102" spans="101:106" ht="13.5">
      <c r="CW102" s="637">
        <v>470</v>
      </c>
      <c r="CX102" s="637" t="s">
        <v>477</v>
      </c>
      <c r="CY102" s="637">
        <v>179.2</v>
      </c>
      <c r="CZ102" s="637">
        <v>50.5</v>
      </c>
      <c r="DA102" s="637">
        <v>0</v>
      </c>
      <c r="DB102" s="637">
        <v>50.5</v>
      </c>
    </row>
    <row r="103" spans="101:106" ht="13.5">
      <c r="CW103" s="637">
        <v>584</v>
      </c>
      <c r="CX103" s="637" t="s">
        <v>181</v>
      </c>
      <c r="CY103" s="637"/>
      <c r="CZ103" s="637">
        <v>0</v>
      </c>
      <c r="DA103" s="637">
        <v>0</v>
      </c>
      <c r="DB103" s="637">
        <v>0</v>
      </c>
    </row>
    <row r="104" spans="101:106" ht="13.5">
      <c r="CW104" s="637">
        <v>474</v>
      </c>
      <c r="CX104" s="637" t="s">
        <v>478</v>
      </c>
      <c r="CY104" s="637"/>
      <c r="CZ104" s="637"/>
      <c r="DA104" s="637"/>
      <c r="DB104" s="637"/>
    </row>
    <row r="105" spans="101:106" ht="13.5">
      <c r="CW105" s="637">
        <v>478</v>
      </c>
      <c r="CX105" s="637" t="s">
        <v>479</v>
      </c>
      <c r="CY105" s="637">
        <v>94820</v>
      </c>
      <c r="CZ105" s="637">
        <v>400</v>
      </c>
      <c r="DA105" s="637">
        <v>0</v>
      </c>
      <c r="DB105" s="637">
        <v>11400</v>
      </c>
    </row>
    <row r="106" spans="101:106" ht="13.5">
      <c r="CW106" s="637">
        <v>480</v>
      </c>
      <c r="CX106" s="637" t="s">
        <v>480</v>
      </c>
      <c r="CY106" s="637">
        <v>4164</v>
      </c>
      <c r="CZ106" s="637">
        <v>2751</v>
      </c>
      <c r="DA106" s="637">
        <v>0</v>
      </c>
      <c r="DB106" s="637">
        <v>2751</v>
      </c>
    </row>
    <row r="107" spans="101:106" ht="13.5">
      <c r="CW107" s="637">
        <v>583</v>
      </c>
      <c r="CX107" s="637" t="s">
        <v>182</v>
      </c>
      <c r="CY107" s="637"/>
      <c r="CZ107" s="637"/>
      <c r="DA107" s="637">
        <v>0</v>
      </c>
      <c r="DB107" s="637"/>
    </row>
    <row r="108" spans="101:106" ht="13.5">
      <c r="CW108" s="637">
        <v>492</v>
      </c>
      <c r="CX108" s="637" t="s">
        <v>183</v>
      </c>
      <c r="CY108" s="637"/>
      <c r="CZ108" s="637"/>
      <c r="DA108" s="637"/>
      <c r="DB108" s="637"/>
    </row>
    <row r="109" spans="101:106" ht="13.5">
      <c r="CW109" s="637">
        <v>496</v>
      </c>
      <c r="CX109" s="637" t="s">
        <v>481</v>
      </c>
      <c r="CY109" s="637">
        <v>377000</v>
      </c>
      <c r="CZ109" s="637">
        <v>34800</v>
      </c>
      <c r="DA109" s="637">
        <v>0</v>
      </c>
      <c r="DB109" s="637">
        <v>34800</v>
      </c>
    </row>
    <row r="110" spans="101:106" ht="13.5">
      <c r="CW110" s="637">
        <v>499</v>
      </c>
      <c r="CX110" s="637" t="s">
        <v>184</v>
      </c>
      <c r="CY110" s="637"/>
      <c r="CZ110" s="637"/>
      <c r="DA110" s="637"/>
      <c r="DB110" s="637"/>
    </row>
    <row r="111" spans="101:106" ht="13.5">
      <c r="CW111" s="637">
        <v>504</v>
      </c>
      <c r="CX111" s="637" t="s">
        <v>482</v>
      </c>
      <c r="CY111" s="637">
        <v>154500</v>
      </c>
      <c r="CZ111" s="637">
        <v>29000</v>
      </c>
      <c r="DA111" s="637">
        <v>0</v>
      </c>
      <c r="DB111" s="637">
        <v>29000</v>
      </c>
    </row>
    <row r="112" spans="101:106" ht="13.5">
      <c r="CW112" s="637">
        <v>508</v>
      </c>
      <c r="CX112" s="637" t="s">
        <v>483</v>
      </c>
      <c r="CY112" s="637">
        <v>825000</v>
      </c>
      <c r="CZ112" s="637">
        <v>100300</v>
      </c>
      <c r="DA112" s="637">
        <v>116800</v>
      </c>
      <c r="DB112" s="637">
        <v>217100</v>
      </c>
    </row>
    <row r="113" spans="101:106" ht="13.5">
      <c r="CW113" s="637">
        <v>104</v>
      </c>
      <c r="CX113" s="637" t="s">
        <v>484</v>
      </c>
      <c r="CY113" s="637">
        <v>1415000</v>
      </c>
      <c r="CZ113" s="637">
        <v>1003000</v>
      </c>
      <c r="DA113" s="637">
        <v>128200</v>
      </c>
      <c r="DB113" s="637">
        <v>1168000</v>
      </c>
    </row>
    <row r="114" spans="101:106" ht="13.5">
      <c r="CW114" s="637">
        <v>516</v>
      </c>
      <c r="CX114" s="637" t="s">
        <v>485</v>
      </c>
      <c r="CY114" s="637">
        <v>234900</v>
      </c>
      <c r="CZ114" s="637">
        <v>6160</v>
      </c>
      <c r="DA114" s="637">
        <v>11000</v>
      </c>
      <c r="DB114" s="637">
        <v>39910</v>
      </c>
    </row>
    <row r="115" spans="101:106" ht="13.5">
      <c r="CW115" s="637">
        <v>520</v>
      </c>
      <c r="CX115" s="637" t="s">
        <v>185</v>
      </c>
      <c r="CY115" s="637"/>
      <c r="CZ115" s="637"/>
      <c r="DA115" s="637">
        <v>0</v>
      </c>
      <c r="DB115" s="637"/>
    </row>
    <row r="116" spans="101:106" ht="13.5">
      <c r="CW116" s="637">
        <v>524</v>
      </c>
      <c r="CX116" s="637" t="s">
        <v>486</v>
      </c>
      <c r="CY116" s="637">
        <v>220800</v>
      </c>
      <c r="CZ116" s="637">
        <v>198200</v>
      </c>
      <c r="DA116" s="637">
        <v>12000</v>
      </c>
      <c r="DB116" s="637">
        <v>210200</v>
      </c>
    </row>
    <row r="117" spans="101:106" ht="13.5">
      <c r="CW117" s="637">
        <v>540</v>
      </c>
      <c r="CX117" s="637" t="s">
        <v>487</v>
      </c>
      <c r="CY117" s="637"/>
      <c r="CZ117" s="637"/>
      <c r="DA117" s="637"/>
      <c r="DB117" s="637"/>
    </row>
    <row r="118" spans="101:106" ht="13.5">
      <c r="CW118" s="637">
        <v>558</v>
      </c>
      <c r="CX118" s="637" t="s">
        <v>488</v>
      </c>
      <c r="CY118" s="637">
        <v>297200</v>
      </c>
      <c r="CZ118" s="637">
        <v>156200</v>
      </c>
      <c r="DA118" s="637">
        <v>8310</v>
      </c>
      <c r="DB118" s="637">
        <v>164500</v>
      </c>
    </row>
    <row r="119" spans="101:106" ht="13.5">
      <c r="CW119" s="637">
        <v>562</v>
      </c>
      <c r="CX119" s="637" t="s">
        <v>489</v>
      </c>
      <c r="CY119" s="637">
        <v>191300</v>
      </c>
      <c r="CZ119" s="637">
        <v>3500</v>
      </c>
      <c r="DA119" s="637">
        <v>29200</v>
      </c>
      <c r="DB119" s="637">
        <v>34050</v>
      </c>
    </row>
    <row r="120" spans="101:106" ht="13.5">
      <c r="CW120" s="637">
        <v>566</v>
      </c>
      <c r="CX120" s="637" t="s">
        <v>490</v>
      </c>
      <c r="CY120" s="637">
        <v>1062000</v>
      </c>
      <c r="CZ120" s="637">
        <v>221000</v>
      </c>
      <c r="DA120" s="637">
        <v>65200</v>
      </c>
      <c r="DB120" s="637">
        <v>286200</v>
      </c>
    </row>
    <row r="121" spans="101:106" ht="13.5">
      <c r="CW121" s="637">
        <v>570</v>
      </c>
      <c r="CX121" s="637" t="s">
        <v>590</v>
      </c>
      <c r="CY121" s="637"/>
      <c r="CZ121" s="637"/>
      <c r="DA121" s="637">
        <v>0</v>
      </c>
      <c r="DB121" s="637"/>
    </row>
    <row r="122" spans="101:106" ht="13.5">
      <c r="CW122" s="637">
        <v>275</v>
      </c>
      <c r="CX122" s="637" t="s">
        <v>591</v>
      </c>
      <c r="CY122" s="637">
        <v>2420</v>
      </c>
      <c r="CZ122" s="637">
        <v>812</v>
      </c>
      <c r="DA122" s="637">
        <v>25</v>
      </c>
      <c r="DB122" s="637">
        <v>837</v>
      </c>
    </row>
    <row r="123" spans="101:106" ht="13.5">
      <c r="CW123" s="637">
        <v>512</v>
      </c>
      <c r="CX123" s="637" t="s">
        <v>491</v>
      </c>
      <c r="CY123" s="637">
        <v>38690</v>
      </c>
      <c r="CZ123" s="637">
        <v>1400</v>
      </c>
      <c r="DA123" s="637">
        <v>0</v>
      </c>
      <c r="DB123" s="637">
        <v>1400</v>
      </c>
    </row>
    <row r="124" spans="101:106" ht="13.5">
      <c r="CW124" s="637">
        <v>586</v>
      </c>
      <c r="CX124" s="637" t="s">
        <v>492</v>
      </c>
      <c r="CY124" s="637">
        <v>393300</v>
      </c>
      <c r="CZ124" s="637">
        <v>55000</v>
      </c>
      <c r="DA124" s="637">
        <v>265100</v>
      </c>
      <c r="DB124" s="637">
        <v>246800</v>
      </c>
    </row>
    <row r="125" spans="101:106" ht="13.5">
      <c r="CW125" s="637">
        <v>585</v>
      </c>
      <c r="CX125" s="637" t="s">
        <v>186</v>
      </c>
      <c r="CY125" s="637"/>
      <c r="CZ125" s="637"/>
      <c r="DA125" s="637">
        <v>0</v>
      </c>
      <c r="DB125" s="637"/>
    </row>
    <row r="126" spans="101:106" ht="13.5">
      <c r="CW126" s="637">
        <v>591</v>
      </c>
      <c r="CX126" s="637" t="s">
        <v>493</v>
      </c>
      <c r="CY126" s="637">
        <v>220800</v>
      </c>
      <c r="CZ126" s="637">
        <v>136600</v>
      </c>
      <c r="DA126" s="637">
        <v>0</v>
      </c>
      <c r="DB126" s="637">
        <v>139300</v>
      </c>
    </row>
    <row r="127" spans="101:106" ht="13.5">
      <c r="CW127" s="637">
        <v>598</v>
      </c>
      <c r="CX127" s="637" t="s">
        <v>494</v>
      </c>
      <c r="CY127" s="637">
        <v>1454000</v>
      </c>
      <c r="CZ127" s="637">
        <v>801000</v>
      </c>
      <c r="DA127" s="637">
        <v>0</v>
      </c>
      <c r="DB127" s="637">
        <v>801000</v>
      </c>
    </row>
    <row r="128" spans="101:106" ht="13.5">
      <c r="CW128" s="637">
        <v>600</v>
      </c>
      <c r="CX128" s="637" t="s">
        <v>495</v>
      </c>
      <c r="CY128" s="637">
        <v>459600</v>
      </c>
      <c r="CZ128" s="637">
        <v>117000</v>
      </c>
      <c r="DA128" s="637">
        <v>73270</v>
      </c>
      <c r="DB128" s="637">
        <v>387800</v>
      </c>
    </row>
    <row r="129" spans="101:106" ht="13.5">
      <c r="CW129" s="637">
        <v>604</v>
      </c>
      <c r="CX129" s="637" t="s">
        <v>496</v>
      </c>
      <c r="CY129" s="637">
        <v>2234000</v>
      </c>
      <c r="CZ129" s="637">
        <v>1641000</v>
      </c>
      <c r="DA129" s="637">
        <v>128800</v>
      </c>
      <c r="DB129" s="637">
        <v>1880000</v>
      </c>
    </row>
    <row r="130" spans="101:106" ht="13.5">
      <c r="CW130" s="637">
        <v>608</v>
      </c>
      <c r="CX130" s="637" t="s">
        <v>497</v>
      </c>
      <c r="CY130" s="637">
        <v>704400</v>
      </c>
      <c r="CZ130" s="637">
        <v>479000</v>
      </c>
      <c r="DA130" s="637">
        <v>0</v>
      </c>
      <c r="DB130" s="637">
        <v>479000</v>
      </c>
    </row>
    <row r="131" spans="101:106" ht="13.5">
      <c r="CW131" s="637">
        <v>630</v>
      </c>
      <c r="CX131" s="637" t="s">
        <v>498</v>
      </c>
      <c r="CY131" s="637">
        <v>18220</v>
      </c>
      <c r="CZ131" s="637">
        <v>7100</v>
      </c>
      <c r="DA131" s="637">
        <v>0</v>
      </c>
      <c r="DB131" s="637">
        <v>7100</v>
      </c>
    </row>
    <row r="132" spans="101:106" ht="13.5">
      <c r="CW132" s="637">
        <v>634</v>
      </c>
      <c r="CX132" s="637" t="s">
        <v>499</v>
      </c>
      <c r="CY132" s="637">
        <v>859.1</v>
      </c>
      <c r="CZ132" s="637">
        <v>56</v>
      </c>
      <c r="DA132" s="637">
        <v>2</v>
      </c>
      <c r="DB132" s="637">
        <v>58</v>
      </c>
    </row>
    <row r="133" spans="101:106" ht="13.5">
      <c r="CW133" s="637">
        <v>498</v>
      </c>
      <c r="CX133" s="637" t="s">
        <v>500</v>
      </c>
      <c r="CY133" s="637">
        <v>15230</v>
      </c>
      <c r="CZ133" s="637">
        <v>1620</v>
      </c>
      <c r="DA133" s="637">
        <v>9200</v>
      </c>
      <c r="DB133" s="637">
        <v>12270</v>
      </c>
    </row>
    <row r="134" spans="101:106" ht="13.5">
      <c r="CW134" s="637">
        <v>638</v>
      </c>
      <c r="CX134" s="637" t="s">
        <v>501</v>
      </c>
      <c r="CY134" s="637"/>
      <c r="CZ134" s="637"/>
      <c r="DA134" s="637"/>
      <c r="DB134" s="637"/>
    </row>
    <row r="135" spans="101:106" ht="13.5">
      <c r="CW135" s="637">
        <v>642</v>
      </c>
      <c r="CX135" s="637" t="s">
        <v>502</v>
      </c>
      <c r="CY135" s="637">
        <v>151900</v>
      </c>
      <c r="CZ135" s="637">
        <v>42380</v>
      </c>
      <c r="DA135" s="637">
        <v>168180</v>
      </c>
      <c r="DB135" s="637">
        <v>212000</v>
      </c>
    </row>
    <row r="136" spans="101:106" ht="13.5">
      <c r="CW136" s="637">
        <v>643</v>
      </c>
      <c r="CX136" s="637" t="s">
        <v>510</v>
      </c>
      <c r="CY136" s="637">
        <v>7865000</v>
      </c>
      <c r="CZ136" s="637">
        <v>4312000</v>
      </c>
      <c r="DA136" s="637">
        <v>204600</v>
      </c>
      <c r="DB136" s="637">
        <v>4525000</v>
      </c>
    </row>
    <row r="137" spans="101:106" ht="13.5">
      <c r="CW137" s="637">
        <v>646</v>
      </c>
      <c r="CX137" s="637" t="s">
        <v>511</v>
      </c>
      <c r="CY137" s="637">
        <v>31920</v>
      </c>
      <c r="CZ137" s="637">
        <v>9500</v>
      </c>
      <c r="DA137" s="637">
        <v>3800</v>
      </c>
      <c r="DB137" s="637">
        <v>13300</v>
      </c>
    </row>
    <row r="138" spans="101:106" ht="13.5">
      <c r="CW138" s="637">
        <v>654</v>
      </c>
      <c r="CX138" s="637" t="s">
        <v>512</v>
      </c>
      <c r="CY138" s="637"/>
      <c r="CZ138" s="637"/>
      <c r="DA138" s="637"/>
      <c r="DB138" s="637"/>
    </row>
    <row r="139" spans="101:106" ht="13.5">
      <c r="CW139" s="637">
        <v>659</v>
      </c>
      <c r="CX139" s="637" t="s">
        <v>513</v>
      </c>
      <c r="CY139" s="637">
        <v>371</v>
      </c>
      <c r="CZ139" s="637">
        <v>24</v>
      </c>
      <c r="DA139" s="637">
        <v>0</v>
      </c>
      <c r="DB139" s="637">
        <v>24</v>
      </c>
    </row>
    <row r="140" spans="101:106" ht="13.5">
      <c r="CW140" s="637">
        <v>662</v>
      </c>
      <c r="CX140" s="637" t="s">
        <v>514</v>
      </c>
      <c r="CY140" s="637">
        <v>1427</v>
      </c>
      <c r="CZ140" s="637">
        <v>30</v>
      </c>
      <c r="DA140" s="637">
        <v>0</v>
      </c>
      <c r="DB140" s="637">
        <v>30</v>
      </c>
    </row>
    <row r="141" spans="101:106" ht="13.5">
      <c r="CW141" s="637">
        <v>670</v>
      </c>
      <c r="CX141" s="637" t="s">
        <v>187</v>
      </c>
      <c r="CY141" s="637">
        <v>617.4</v>
      </c>
      <c r="CZ141" s="637">
        <v>100</v>
      </c>
      <c r="DA141" s="637">
        <v>0</v>
      </c>
      <c r="DB141" s="637">
        <v>100</v>
      </c>
    </row>
    <row r="142" spans="101:106" ht="13.5">
      <c r="CW142" s="637">
        <v>882</v>
      </c>
      <c r="CX142" s="637" t="s">
        <v>515</v>
      </c>
      <c r="CY142" s="637">
        <v>8179</v>
      </c>
      <c r="CZ142" s="637"/>
      <c r="DA142" s="637">
        <v>0</v>
      </c>
      <c r="DB142" s="637"/>
    </row>
    <row r="143" spans="101:106" ht="13.5">
      <c r="CW143" s="637">
        <v>674</v>
      </c>
      <c r="CX143" s="637" t="s">
        <v>188</v>
      </c>
      <c r="CY143" s="637"/>
      <c r="CZ143" s="637"/>
      <c r="DA143" s="637"/>
      <c r="DB143" s="637"/>
    </row>
    <row r="144" spans="101:106" ht="13.5">
      <c r="CW144" s="637">
        <v>678</v>
      </c>
      <c r="CX144" s="637" t="s">
        <v>519</v>
      </c>
      <c r="CY144" s="637">
        <v>3072</v>
      </c>
      <c r="CZ144" s="637">
        <v>2180</v>
      </c>
      <c r="DA144" s="637">
        <v>0</v>
      </c>
      <c r="DB144" s="637">
        <v>2180</v>
      </c>
    </row>
    <row r="145" spans="101:106" ht="13.5">
      <c r="CW145" s="637">
        <v>682</v>
      </c>
      <c r="CX145" s="637" t="s">
        <v>520</v>
      </c>
      <c r="CY145" s="637">
        <v>126800</v>
      </c>
      <c r="CZ145" s="637">
        <v>2400</v>
      </c>
      <c r="DA145" s="637">
        <v>0</v>
      </c>
      <c r="DB145" s="637">
        <v>2400</v>
      </c>
    </row>
    <row r="146" spans="101:106" ht="13.5">
      <c r="CW146" s="637">
        <v>686</v>
      </c>
      <c r="CX146" s="637" t="s">
        <v>521</v>
      </c>
      <c r="CY146" s="637">
        <v>134900</v>
      </c>
      <c r="CZ146" s="637">
        <v>25800</v>
      </c>
      <c r="DA146" s="637">
        <v>2170</v>
      </c>
      <c r="DB146" s="637">
        <v>38970</v>
      </c>
    </row>
    <row r="147" spans="101:106" ht="13.5">
      <c r="CW147" s="637">
        <v>891</v>
      </c>
      <c r="CX147" s="637" t="s">
        <v>189</v>
      </c>
      <c r="CY147" s="637">
        <v>49980</v>
      </c>
      <c r="CZ147" s="637">
        <v>8407</v>
      </c>
      <c r="DA147" s="637">
        <v>0</v>
      </c>
      <c r="DB147" s="637">
        <v>162200</v>
      </c>
    </row>
    <row r="148" spans="101:106" ht="13.5">
      <c r="CW148" s="637">
        <v>690</v>
      </c>
      <c r="CX148" s="637" t="s">
        <v>522</v>
      </c>
      <c r="CY148" s="637">
        <v>1060</v>
      </c>
      <c r="CZ148" s="637"/>
      <c r="DA148" s="637">
        <v>0</v>
      </c>
      <c r="DB148" s="637"/>
    </row>
    <row r="149" spans="101:106" ht="13.5">
      <c r="CW149" s="637">
        <v>694</v>
      </c>
      <c r="CX149" s="637" t="s">
        <v>523</v>
      </c>
      <c r="CY149" s="637">
        <v>182600</v>
      </c>
      <c r="CZ149" s="637">
        <v>160000</v>
      </c>
      <c r="DA149" s="637">
        <v>0</v>
      </c>
      <c r="DB149" s="637">
        <v>160000</v>
      </c>
    </row>
    <row r="150" spans="101:106" ht="13.5">
      <c r="CW150" s="637">
        <v>702</v>
      </c>
      <c r="CX150" s="637" t="s">
        <v>524</v>
      </c>
      <c r="CY150" s="637">
        <v>1790</v>
      </c>
      <c r="CZ150" s="637">
        <v>600</v>
      </c>
      <c r="DA150" s="637">
        <v>0</v>
      </c>
      <c r="DB150" s="637">
        <v>600</v>
      </c>
    </row>
    <row r="151" spans="101:106" ht="13.5">
      <c r="CW151" s="637">
        <v>703</v>
      </c>
      <c r="CX151" s="637" t="s">
        <v>525</v>
      </c>
      <c r="CY151" s="637">
        <v>40410</v>
      </c>
      <c r="CZ151" s="637">
        <v>12600</v>
      </c>
      <c r="DA151" s="637">
        <v>0</v>
      </c>
      <c r="DB151" s="637">
        <v>50100</v>
      </c>
    </row>
    <row r="152" spans="101:106" ht="13.5">
      <c r="CW152" s="637">
        <v>90</v>
      </c>
      <c r="CX152" s="637" t="s">
        <v>526</v>
      </c>
      <c r="CY152" s="637">
        <v>87510</v>
      </c>
      <c r="CZ152" s="637">
        <v>44700</v>
      </c>
      <c r="DA152" s="637">
        <v>0</v>
      </c>
      <c r="DB152" s="637">
        <v>44700</v>
      </c>
    </row>
    <row r="153" spans="101:106" ht="25.5" customHeight="1">
      <c r="CW153" s="637">
        <v>706</v>
      </c>
      <c r="CX153" s="637" t="s">
        <v>527</v>
      </c>
      <c r="CY153" s="637">
        <v>179800</v>
      </c>
      <c r="CZ153" s="637">
        <v>6000</v>
      </c>
      <c r="DA153" s="637">
        <v>8700</v>
      </c>
      <c r="DB153" s="637">
        <v>14700</v>
      </c>
    </row>
    <row r="154" spans="101:106" ht="13.5">
      <c r="CW154" s="637">
        <v>710</v>
      </c>
      <c r="CX154" s="637" t="s">
        <v>528</v>
      </c>
      <c r="CY154" s="637">
        <v>603400</v>
      </c>
      <c r="CZ154" s="637">
        <v>44800</v>
      </c>
      <c r="DA154" s="637">
        <v>6600</v>
      </c>
      <c r="DB154" s="637">
        <v>51350</v>
      </c>
    </row>
    <row r="155" spans="101:106" ht="13.5">
      <c r="CW155" s="637">
        <v>728</v>
      </c>
      <c r="CX155" s="637" t="s">
        <v>592</v>
      </c>
      <c r="CY155" s="637">
        <v>579900</v>
      </c>
      <c r="CZ155" s="637">
        <v>26000</v>
      </c>
      <c r="DA155" s="637">
        <v>50000</v>
      </c>
      <c r="DB155" s="637">
        <v>49500</v>
      </c>
    </row>
    <row r="156" spans="101:106" ht="13.5">
      <c r="CW156" s="637">
        <v>144</v>
      </c>
      <c r="CX156" s="637" t="s">
        <v>529</v>
      </c>
      <c r="CY156" s="637">
        <v>112300</v>
      </c>
      <c r="CZ156" s="637">
        <v>52800</v>
      </c>
      <c r="DA156" s="637">
        <v>0</v>
      </c>
      <c r="DB156" s="637">
        <v>52800</v>
      </c>
    </row>
    <row r="157" spans="101:106" ht="13.5">
      <c r="CW157" s="637">
        <v>729</v>
      </c>
      <c r="CX157" s="637" t="s">
        <v>593</v>
      </c>
      <c r="CY157" s="637">
        <v>469800</v>
      </c>
      <c r="CZ157" s="637">
        <v>4000</v>
      </c>
      <c r="DA157" s="637">
        <v>99300</v>
      </c>
      <c r="DB157" s="637">
        <v>37800</v>
      </c>
    </row>
    <row r="158" spans="101:106" ht="13.5">
      <c r="CW158" s="637">
        <v>740</v>
      </c>
      <c r="CX158" s="637" t="s">
        <v>530</v>
      </c>
      <c r="CY158" s="637">
        <v>381900</v>
      </c>
      <c r="CZ158" s="637">
        <v>99000</v>
      </c>
      <c r="DA158" s="637">
        <v>0</v>
      </c>
      <c r="DB158" s="637">
        <v>99000</v>
      </c>
    </row>
    <row r="159" spans="101:106" ht="13.5">
      <c r="CW159" s="637">
        <v>748</v>
      </c>
      <c r="CX159" s="637" t="s">
        <v>531</v>
      </c>
      <c r="CY159" s="637">
        <v>13680</v>
      </c>
      <c r="CZ159" s="637">
        <v>2640</v>
      </c>
      <c r="DA159" s="637">
        <v>1870</v>
      </c>
      <c r="DB159" s="637">
        <v>4510</v>
      </c>
    </row>
    <row r="160" spans="101:106" ht="13.5">
      <c r="CW160" s="637">
        <v>760</v>
      </c>
      <c r="CX160" s="637" t="s">
        <v>542</v>
      </c>
      <c r="CY160" s="637">
        <v>46670</v>
      </c>
      <c r="CZ160" s="637">
        <v>7132</v>
      </c>
      <c r="DA160" s="637">
        <v>39650</v>
      </c>
      <c r="DB160" s="637">
        <v>16800</v>
      </c>
    </row>
    <row r="161" spans="101:106" ht="13.5">
      <c r="CW161" s="637">
        <v>762</v>
      </c>
      <c r="CX161" s="637" t="s">
        <v>543</v>
      </c>
      <c r="CY161" s="637">
        <v>98500</v>
      </c>
      <c r="CZ161" s="637">
        <v>63460</v>
      </c>
      <c r="DA161" s="637">
        <v>34190</v>
      </c>
      <c r="DB161" s="637">
        <v>21910</v>
      </c>
    </row>
    <row r="162" spans="101:106" ht="13.5">
      <c r="CW162" s="637">
        <v>764</v>
      </c>
      <c r="CX162" s="637" t="s">
        <v>544</v>
      </c>
      <c r="CY162" s="637">
        <v>832300</v>
      </c>
      <c r="CZ162" s="637">
        <v>224500</v>
      </c>
      <c r="DA162" s="637">
        <v>0</v>
      </c>
      <c r="DB162" s="637">
        <v>438600</v>
      </c>
    </row>
    <row r="163" spans="101:106" ht="13.5">
      <c r="CW163" s="637">
        <v>807</v>
      </c>
      <c r="CX163" s="637" t="s">
        <v>190</v>
      </c>
      <c r="CY163" s="637">
        <v>15910</v>
      </c>
      <c r="CZ163" s="637">
        <v>5400</v>
      </c>
      <c r="DA163" s="637">
        <v>1000</v>
      </c>
      <c r="DB163" s="637">
        <v>6400</v>
      </c>
    </row>
    <row r="164" spans="101:106" ht="13.5">
      <c r="CW164" s="637">
        <v>626</v>
      </c>
      <c r="CX164" s="637" t="s">
        <v>191</v>
      </c>
      <c r="CY164" s="637">
        <v>22300</v>
      </c>
      <c r="CZ164" s="637">
        <v>8215</v>
      </c>
      <c r="DA164" s="637">
        <v>0</v>
      </c>
      <c r="DB164" s="637">
        <v>8215</v>
      </c>
    </row>
    <row r="165" spans="101:106" ht="13.5">
      <c r="CW165" s="637">
        <v>768</v>
      </c>
      <c r="CX165" s="637" t="s">
        <v>545</v>
      </c>
      <c r="CY165" s="637">
        <v>66330</v>
      </c>
      <c r="CZ165" s="637">
        <v>11500</v>
      </c>
      <c r="DA165" s="637">
        <v>3200</v>
      </c>
      <c r="DB165" s="637">
        <v>14700</v>
      </c>
    </row>
    <row r="166" spans="101:106" ht="13.5">
      <c r="CW166" s="638">
        <v>772</v>
      </c>
      <c r="CX166" s="638" t="s">
        <v>594</v>
      </c>
      <c r="CY166" s="638" t="s">
        <v>595</v>
      </c>
      <c r="CZ166" s="638" t="s">
        <v>595</v>
      </c>
      <c r="DA166" s="638">
        <v>0</v>
      </c>
      <c r="DB166" s="638" t="s">
        <v>595</v>
      </c>
    </row>
    <row r="167" spans="101:106" ht="13.5">
      <c r="CW167" s="638">
        <v>776</v>
      </c>
      <c r="CX167" s="638" t="s">
        <v>547</v>
      </c>
      <c r="CY167" s="638" t="s">
        <v>595</v>
      </c>
      <c r="CZ167" s="638" t="s">
        <v>595</v>
      </c>
      <c r="DA167" s="638">
        <v>0</v>
      </c>
      <c r="DB167" s="638" t="s">
        <v>595</v>
      </c>
    </row>
    <row r="168" spans="101:106" ht="13.5">
      <c r="CW168" s="637">
        <v>780</v>
      </c>
      <c r="CX168" s="637" t="s">
        <v>548</v>
      </c>
      <c r="CY168" s="637">
        <v>11290</v>
      </c>
      <c r="CZ168" s="637">
        <v>3840</v>
      </c>
      <c r="DA168" s="637">
        <v>0</v>
      </c>
      <c r="DB168" s="637">
        <v>3840</v>
      </c>
    </row>
    <row r="169" spans="101:106" ht="13.5">
      <c r="CW169" s="637">
        <v>788</v>
      </c>
      <c r="CX169" s="637" t="s">
        <v>549</v>
      </c>
      <c r="CY169" s="637">
        <v>33870</v>
      </c>
      <c r="CZ169" s="637">
        <v>4195</v>
      </c>
      <c r="DA169" s="637">
        <v>420</v>
      </c>
      <c r="DB169" s="637">
        <v>4595</v>
      </c>
    </row>
    <row r="170" spans="101:106" ht="13.5">
      <c r="CW170" s="637">
        <v>795</v>
      </c>
      <c r="CX170" s="637" t="s">
        <v>550</v>
      </c>
      <c r="CY170" s="637">
        <v>78580</v>
      </c>
      <c r="CZ170" s="637">
        <v>1405</v>
      </c>
      <c r="DA170" s="637">
        <v>80200</v>
      </c>
      <c r="DB170" s="637">
        <v>24770</v>
      </c>
    </row>
    <row r="171" spans="101:106" ht="13.5">
      <c r="CW171" s="637">
        <v>798</v>
      </c>
      <c r="CX171" s="637" t="s">
        <v>192</v>
      </c>
      <c r="CY171" s="637"/>
      <c r="CZ171" s="637"/>
      <c r="DA171" s="637">
        <v>0</v>
      </c>
      <c r="DB171" s="637"/>
    </row>
    <row r="172" spans="101:106" ht="13.5">
      <c r="CW172" s="637">
        <v>800</v>
      </c>
      <c r="CX172" s="637" t="s">
        <v>551</v>
      </c>
      <c r="CY172" s="637">
        <v>285000</v>
      </c>
      <c r="CZ172" s="637">
        <v>39000</v>
      </c>
      <c r="DA172" s="637">
        <v>21100</v>
      </c>
      <c r="DB172" s="637">
        <v>60100</v>
      </c>
    </row>
    <row r="173" spans="101:106" ht="13.5">
      <c r="CW173" s="637">
        <v>804</v>
      </c>
      <c r="CX173" s="637" t="s">
        <v>552</v>
      </c>
      <c r="CY173" s="637">
        <v>341000</v>
      </c>
      <c r="CZ173" s="637">
        <v>55100</v>
      </c>
      <c r="DA173" s="637">
        <v>36130</v>
      </c>
      <c r="DB173" s="637">
        <v>175300</v>
      </c>
    </row>
    <row r="174" spans="101:106" ht="13.5">
      <c r="CW174" s="637">
        <v>784</v>
      </c>
      <c r="CX174" s="637" t="s">
        <v>553</v>
      </c>
      <c r="CY174" s="637">
        <v>6521</v>
      </c>
      <c r="CZ174" s="637">
        <v>150</v>
      </c>
      <c r="DA174" s="637">
        <v>0</v>
      </c>
      <c r="DB174" s="637">
        <v>150</v>
      </c>
    </row>
    <row r="175" spans="101:106" ht="13.5">
      <c r="CW175" s="637">
        <v>834</v>
      </c>
      <c r="CX175" s="637" t="s">
        <v>193</v>
      </c>
      <c r="CY175" s="637">
        <v>1015000</v>
      </c>
      <c r="CZ175" s="637">
        <v>84000</v>
      </c>
      <c r="DA175" s="637">
        <v>12270</v>
      </c>
      <c r="DB175" s="637">
        <v>96270</v>
      </c>
    </row>
    <row r="176" spans="101:106" ht="25.5" customHeight="1">
      <c r="CW176" s="637">
        <v>858</v>
      </c>
      <c r="CX176" s="637" t="s">
        <v>555</v>
      </c>
      <c r="CY176" s="637">
        <v>222900</v>
      </c>
      <c r="CZ176" s="637">
        <v>92200</v>
      </c>
      <c r="DA176" s="637">
        <v>5000</v>
      </c>
      <c r="DB176" s="637">
        <v>172200</v>
      </c>
    </row>
    <row r="177" spans="101:106" ht="13.5">
      <c r="CW177" s="637">
        <v>860</v>
      </c>
      <c r="CX177" s="637" t="s">
        <v>556</v>
      </c>
      <c r="CY177" s="637">
        <v>92160</v>
      </c>
      <c r="CZ177" s="637">
        <v>16340</v>
      </c>
      <c r="DA177" s="637">
        <v>102200</v>
      </c>
      <c r="DB177" s="637">
        <v>48870</v>
      </c>
    </row>
    <row r="178" spans="101:106" ht="13.5">
      <c r="CW178" s="637">
        <v>548</v>
      </c>
      <c r="CX178" s="637" t="s">
        <v>194</v>
      </c>
      <c r="CY178" s="637">
        <v>24380</v>
      </c>
      <c r="CZ178" s="637">
        <v>10000</v>
      </c>
      <c r="DA178" s="637">
        <v>0</v>
      </c>
      <c r="DB178" s="637">
        <v>10000</v>
      </c>
    </row>
    <row r="179" spans="101:106" ht="38.25" customHeight="1">
      <c r="CW179" s="637">
        <v>862</v>
      </c>
      <c r="CX179" s="637" t="s">
        <v>195</v>
      </c>
      <c r="CY179" s="637">
        <v>1864000</v>
      </c>
      <c r="CZ179" s="637">
        <v>805000</v>
      </c>
      <c r="DA179" s="637">
        <v>495000</v>
      </c>
      <c r="DB179" s="637">
        <v>1325000</v>
      </c>
    </row>
    <row r="180" spans="101:106" ht="13.5">
      <c r="CW180" s="637">
        <v>704</v>
      </c>
      <c r="CX180" s="637" t="s">
        <v>557</v>
      </c>
      <c r="CY180" s="637">
        <v>602700</v>
      </c>
      <c r="CZ180" s="637">
        <v>359400</v>
      </c>
      <c r="DA180" s="637">
        <v>524700</v>
      </c>
      <c r="DB180" s="637">
        <v>884100</v>
      </c>
    </row>
    <row r="181" spans="101:106" ht="13.5">
      <c r="CW181" s="637">
        <v>887</v>
      </c>
      <c r="CX181" s="637" t="s">
        <v>558</v>
      </c>
      <c r="CY181" s="637">
        <v>88170</v>
      </c>
      <c r="CZ181" s="637">
        <v>2100</v>
      </c>
      <c r="DA181" s="637">
        <v>0</v>
      </c>
      <c r="DB181" s="637">
        <v>2100</v>
      </c>
    </row>
    <row r="182" spans="101:106" ht="13.5">
      <c r="CW182" s="637">
        <v>894</v>
      </c>
      <c r="CX182" s="637" t="s">
        <v>559</v>
      </c>
      <c r="CY182" s="637">
        <v>767700</v>
      </c>
      <c r="CZ182" s="637">
        <v>80200</v>
      </c>
      <c r="DA182" s="637">
        <v>24600</v>
      </c>
      <c r="DB182" s="637">
        <v>104800</v>
      </c>
    </row>
    <row r="183" spans="101:106" ht="13.5">
      <c r="CW183" s="637">
        <v>716</v>
      </c>
      <c r="CX183" s="637" t="s">
        <v>560</v>
      </c>
      <c r="CY183" s="637">
        <v>256700</v>
      </c>
      <c r="CZ183" s="637">
        <v>12260</v>
      </c>
      <c r="DA183" s="637">
        <v>0</v>
      </c>
      <c r="DB183" s="637">
        <v>20000</v>
      </c>
    </row>
    <row r="207" ht="22.5" customHeight="1"/>
  </sheetData>
  <sheetProtection sheet="1" formatCells="0" formatColumns="0" formatRows="0" insertColumns="0" insertRows="0" insertHyperlinks="0"/>
  <mergeCells count="42">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W5:CZ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s>
  <conditionalFormatting sqref="F10">
    <cfRule type="cellIs" priority="70" dxfId="330" operator="lessThan" stopIfTrue="1">
      <formula>F8-F9-(0.01*(F8-F9))</formula>
    </cfRule>
  </conditionalFormatting>
  <conditionalFormatting sqref="F12">
    <cfRule type="cellIs" priority="71" dxfId="330" operator="lessThan" stopIfTrue="1">
      <formula>F10+F11-(0.01*(F10+F11))</formula>
    </cfRule>
  </conditionalFormatting>
  <conditionalFormatting sqref="F13">
    <cfRule type="cellIs" priority="72" dxfId="330" operator="lessThan" stopIfTrue="1">
      <formula>0.99*(F14+F15)</formula>
    </cfRule>
  </conditionalFormatting>
  <conditionalFormatting sqref="H10">
    <cfRule type="cellIs" priority="68" dxfId="330" operator="lessThan" stopIfTrue="1">
      <formula>H8-H9-(0.01*(H8-H9))</formula>
    </cfRule>
  </conditionalFormatting>
  <conditionalFormatting sqref="H12">
    <cfRule type="cellIs" priority="69" dxfId="330" operator="lessThan" stopIfTrue="1">
      <formula>H10+H11-(0.01*(H10+H11))</formula>
    </cfRule>
  </conditionalFormatting>
  <conditionalFormatting sqref="J10">
    <cfRule type="cellIs" priority="66" dxfId="330" operator="lessThan" stopIfTrue="1">
      <formula>J8-J9-(0.01*(J8-J9))</formula>
    </cfRule>
  </conditionalFormatting>
  <conditionalFormatting sqref="J12">
    <cfRule type="cellIs" priority="67" dxfId="330" operator="lessThan" stopIfTrue="1">
      <formula>J10+J11-(0.01*(J10+J11))</formula>
    </cfRule>
  </conditionalFormatting>
  <conditionalFormatting sqref="L10">
    <cfRule type="cellIs" priority="64" dxfId="330" operator="lessThan" stopIfTrue="1">
      <formula>L8-L9-(0.01*(L8-L9))</formula>
    </cfRule>
  </conditionalFormatting>
  <conditionalFormatting sqref="L12">
    <cfRule type="cellIs" priority="65" dxfId="330" operator="lessThan" stopIfTrue="1">
      <formula>L10+L11-(0.01*(L10+L11))</formula>
    </cfRule>
  </conditionalFormatting>
  <conditionalFormatting sqref="N10">
    <cfRule type="cellIs" priority="62" dxfId="330" operator="lessThan" stopIfTrue="1">
      <formula>N8-N9-(0.01*(N8-N9))</formula>
    </cfRule>
  </conditionalFormatting>
  <conditionalFormatting sqref="N12">
    <cfRule type="cellIs" priority="63" dxfId="330" operator="lessThan" stopIfTrue="1">
      <formula>N10+N11-(0.01*(N10+N11))</formula>
    </cfRule>
  </conditionalFormatting>
  <conditionalFormatting sqref="P10">
    <cfRule type="cellIs" priority="60" dxfId="330" operator="lessThan" stopIfTrue="1">
      <formula>P8-P9-(0.01*(P8-P9))</formula>
    </cfRule>
  </conditionalFormatting>
  <conditionalFormatting sqref="P12">
    <cfRule type="cellIs" priority="61" dxfId="330" operator="lessThan" stopIfTrue="1">
      <formula>P10+P11-(0.01*(P10+P11))</formula>
    </cfRule>
  </conditionalFormatting>
  <conditionalFormatting sqref="R10">
    <cfRule type="cellIs" priority="58" dxfId="330" operator="lessThan" stopIfTrue="1">
      <formula>R8-R9-(0.01*(R8-R9))</formula>
    </cfRule>
  </conditionalFormatting>
  <conditionalFormatting sqref="R12">
    <cfRule type="cellIs" priority="59" dxfId="330" operator="lessThan" stopIfTrue="1">
      <formula>R10+R11-(0.01*(R10+R11))</formula>
    </cfRule>
  </conditionalFormatting>
  <conditionalFormatting sqref="T10">
    <cfRule type="cellIs" priority="56" dxfId="330" operator="lessThan" stopIfTrue="1">
      <formula>T8-T9-(0.01*(T8-T9))</formula>
    </cfRule>
  </conditionalFormatting>
  <conditionalFormatting sqref="T12">
    <cfRule type="cellIs" priority="57" dxfId="330" operator="lessThan" stopIfTrue="1">
      <formula>T10+T11-(0.01*(T10+T11))</formula>
    </cfRule>
  </conditionalFormatting>
  <conditionalFormatting sqref="V10">
    <cfRule type="cellIs" priority="54" dxfId="330" operator="lessThan" stopIfTrue="1">
      <formula>V8-V9-(0.01*(V8-V9))</formula>
    </cfRule>
  </conditionalFormatting>
  <conditionalFormatting sqref="V12">
    <cfRule type="cellIs" priority="55" dxfId="330" operator="lessThan" stopIfTrue="1">
      <formula>V10+V11-(0.01*(V10+V11))</formula>
    </cfRule>
  </conditionalFormatting>
  <conditionalFormatting sqref="X10">
    <cfRule type="cellIs" priority="52" dxfId="330" operator="lessThan" stopIfTrue="1">
      <formula>X8-X9-(0.01*(X8-X9))</formula>
    </cfRule>
  </conditionalFormatting>
  <conditionalFormatting sqref="X12">
    <cfRule type="cellIs" priority="53" dxfId="330" operator="lessThan" stopIfTrue="1">
      <formula>X10+X11-(0.01*(X10+X11))</formula>
    </cfRule>
  </conditionalFormatting>
  <conditionalFormatting sqref="Z10">
    <cfRule type="cellIs" priority="50" dxfId="330" operator="lessThan" stopIfTrue="1">
      <formula>Z8-Z9-(0.01*(Z8-Z9))</formula>
    </cfRule>
  </conditionalFormatting>
  <conditionalFormatting sqref="Z12">
    <cfRule type="cellIs" priority="51" dxfId="330" operator="lessThan" stopIfTrue="1">
      <formula>Z10+Z11-(0.01*(Z10+Z11))</formula>
    </cfRule>
  </conditionalFormatting>
  <conditionalFormatting sqref="AB10">
    <cfRule type="cellIs" priority="48" dxfId="330" operator="lessThan" stopIfTrue="1">
      <formula>AB8-AB9-(0.01*(AB8-AB9))</formula>
    </cfRule>
  </conditionalFormatting>
  <conditionalFormatting sqref="AB12">
    <cfRule type="cellIs" priority="49" dxfId="330" operator="lessThan" stopIfTrue="1">
      <formula>AB10+AB11-(0.01*(AB10+AB11))</formula>
    </cfRule>
  </conditionalFormatting>
  <conditionalFormatting sqref="AD10">
    <cfRule type="cellIs" priority="46" dxfId="330" operator="lessThan" stopIfTrue="1">
      <formula>AD8-AD9-(0.01*(AD8-AD9))</formula>
    </cfRule>
  </conditionalFormatting>
  <conditionalFormatting sqref="AD12">
    <cfRule type="cellIs" priority="47" dxfId="330" operator="lessThan" stopIfTrue="1">
      <formula>AD10+AD11-(0.01*(AD10+AD11))</formula>
    </cfRule>
  </conditionalFormatting>
  <conditionalFormatting sqref="AF10">
    <cfRule type="cellIs" priority="44" dxfId="330" operator="lessThan" stopIfTrue="1">
      <formula>AF8-AF9-(0.01*(AF8-AF9))</formula>
    </cfRule>
  </conditionalFormatting>
  <conditionalFormatting sqref="AF12">
    <cfRule type="cellIs" priority="45" dxfId="330" operator="lessThan" stopIfTrue="1">
      <formula>AF10+AF11-(0.01*(AF10+AF11))</formula>
    </cfRule>
  </conditionalFormatting>
  <conditionalFormatting sqref="AH10">
    <cfRule type="cellIs" priority="42" dxfId="330" operator="lessThan" stopIfTrue="1">
      <formula>AH8-AH9-(0.01*(AH8-AH9))</formula>
    </cfRule>
  </conditionalFormatting>
  <conditionalFormatting sqref="AH12">
    <cfRule type="cellIs" priority="43" dxfId="330" operator="lessThan" stopIfTrue="1">
      <formula>AH10+AH11-(0.01*(AH10+AH11))</formula>
    </cfRule>
  </conditionalFormatting>
  <conditionalFormatting sqref="AJ10">
    <cfRule type="cellIs" priority="40" dxfId="330" operator="lessThan" stopIfTrue="1">
      <formula>AJ8-AJ9-(0.01*(AJ8-AJ9))</formula>
    </cfRule>
  </conditionalFormatting>
  <conditionalFormatting sqref="AJ12">
    <cfRule type="cellIs" priority="41" dxfId="330" operator="lessThan" stopIfTrue="1">
      <formula>AJ10+AJ11-(0.01*(AJ10+AJ11))</formula>
    </cfRule>
  </conditionalFormatting>
  <conditionalFormatting sqref="AN10">
    <cfRule type="cellIs" priority="38" dxfId="330" operator="lessThan" stopIfTrue="1">
      <formula>AN8-AN9-(0.01*(AN8-AN9))</formula>
    </cfRule>
  </conditionalFormatting>
  <conditionalFormatting sqref="AN12">
    <cfRule type="cellIs" priority="39" dxfId="330" operator="lessThan" stopIfTrue="1">
      <formula>AN10+AN11-(0.01*(AN10+AN11))</formula>
    </cfRule>
  </conditionalFormatting>
  <conditionalFormatting sqref="AP10">
    <cfRule type="cellIs" priority="36" dxfId="330" operator="lessThan" stopIfTrue="1">
      <formula>AP8-AP9-(0.01*(AP8-AP9))</formula>
    </cfRule>
  </conditionalFormatting>
  <conditionalFormatting sqref="AP12">
    <cfRule type="cellIs" priority="37" dxfId="330" operator="lessThan" stopIfTrue="1">
      <formula>AP10+AP11-(0.01*(AP10+AP11))</formula>
    </cfRule>
  </conditionalFormatting>
  <conditionalFormatting sqref="AR10">
    <cfRule type="cellIs" priority="34" dxfId="330" operator="lessThan" stopIfTrue="1">
      <formula>AR8-AR9-(0.01*(AR8-AR9))</formula>
    </cfRule>
  </conditionalFormatting>
  <conditionalFormatting sqref="AR12">
    <cfRule type="cellIs" priority="35" dxfId="330" operator="lessThan" stopIfTrue="1">
      <formula>AR10+AR11-(0.01*(AR10+AR11))</formula>
    </cfRule>
  </conditionalFormatting>
  <conditionalFormatting sqref="AT10">
    <cfRule type="cellIs" priority="32" dxfId="330" operator="lessThan" stopIfTrue="1">
      <formula>AT8-AT9-(0.01*(AT8-AT9))</formula>
    </cfRule>
  </conditionalFormatting>
  <conditionalFormatting sqref="AT12">
    <cfRule type="cellIs" priority="33" dxfId="330" operator="lessThan" stopIfTrue="1">
      <formula>AT10+AT11-(0.01*(AT10+AT11))</formula>
    </cfRule>
  </conditionalFormatting>
  <conditionalFormatting sqref="AV10">
    <cfRule type="cellIs" priority="30" dxfId="330" operator="lessThan" stopIfTrue="1">
      <formula>AV8-AV9-(0.01*(AV8-AV9))</formula>
    </cfRule>
  </conditionalFormatting>
  <conditionalFormatting sqref="AV12">
    <cfRule type="cellIs" priority="31" dxfId="330" operator="lessThan" stopIfTrue="1">
      <formula>AV10+AV11-(0.01*(AV10+AV11))</formula>
    </cfRule>
  </conditionalFormatting>
  <conditionalFormatting sqref="AX10">
    <cfRule type="cellIs" priority="28" dxfId="330" operator="lessThan" stopIfTrue="1">
      <formula>AX8-AX9-(0.01*(AX8-AX9))</formula>
    </cfRule>
  </conditionalFormatting>
  <conditionalFormatting sqref="AX12">
    <cfRule type="cellIs" priority="29" dxfId="330" operator="lessThan" stopIfTrue="1">
      <formula>AX10+AX11-(0.01*(AX10+AX11))</formula>
    </cfRule>
  </conditionalFormatting>
  <conditionalFormatting sqref="H13">
    <cfRule type="cellIs" priority="27" dxfId="330" operator="lessThan" stopIfTrue="1">
      <formula>0.99*(H14+H15)</formula>
    </cfRule>
  </conditionalFormatting>
  <conditionalFormatting sqref="J13">
    <cfRule type="cellIs" priority="26" dxfId="330" operator="lessThan" stopIfTrue="1">
      <formula>0.99*(J14+J15)</formula>
    </cfRule>
  </conditionalFormatting>
  <conditionalFormatting sqref="L13">
    <cfRule type="cellIs" priority="25" dxfId="330" operator="lessThan" stopIfTrue="1">
      <formula>0.99*(L14+L15)</formula>
    </cfRule>
  </conditionalFormatting>
  <conditionalFormatting sqref="N13">
    <cfRule type="cellIs" priority="24" dxfId="330" operator="lessThan" stopIfTrue="1">
      <formula>0.99*(N14+N15)</formula>
    </cfRule>
  </conditionalFormatting>
  <conditionalFormatting sqref="P13">
    <cfRule type="cellIs" priority="23" dxfId="330" operator="lessThan" stopIfTrue="1">
      <formula>0.99*(P14+P15)</formula>
    </cfRule>
  </conditionalFormatting>
  <conditionalFormatting sqref="R13">
    <cfRule type="cellIs" priority="22" dxfId="330" operator="lessThan" stopIfTrue="1">
      <formula>0.99*(R14+R15)</formula>
    </cfRule>
  </conditionalFormatting>
  <conditionalFormatting sqref="T13">
    <cfRule type="cellIs" priority="21" dxfId="330" operator="lessThan" stopIfTrue="1">
      <formula>0.99*(T14+T15)</formula>
    </cfRule>
  </conditionalFormatting>
  <conditionalFormatting sqref="V13">
    <cfRule type="cellIs" priority="20" dxfId="330" operator="lessThan" stopIfTrue="1">
      <formula>0.99*(V14+V15)</formula>
    </cfRule>
  </conditionalFormatting>
  <conditionalFormatting sqref="X13">
    <cfRule type="cellIs" priority="19" dxfId="330" operator="lessThan" stopIfTrue="1">
      <formula>0.99*(X14+X15)</formula>
    </cfRule>
  </conditionalFormatting>
  <conditionalFormatting sqref="Z13">
    <cfRule type="cellIs" priority="18" dxfId="330" operator="lessThan" stopIfTrue="1">
      <formula>0.99*(Z14+Z15)</formula>
    </cfRule>
  </conditionalFormatting>
  <conditionalFormatting sqref="AB13">
    <cfRule type="cellIs" priority="17" dxfId="330" operator="lessThan" stopIfTrue="1">
      <formula>0.99*(AB14+AB15)</formula>
    </cfRule>
  </conditionalFormatting>
  <conditionalFormatting sqref="AD13">
    <cfRule type="cellIs" priority="16" dxfId="330" operator="lessThan" stopIfTrue="1">
      <formula>0.99*(AD14+AD15)</formula>
    </cfRule>
  </conditionalFormatting>
  <conditionalFormatting sqref="AF13">
    <cfRule type="cellIs" priority="15" dxfId="330" operator="lessThan" stopIfTrue="1">
      <formula>0.99*(AF14+AF15)</formula>
    </cfRule>
  </conditionalFormatting>
  <conditionalFormatting sqref="AH13">
    <cfRule type="cellIs" priority="14" dxfId="330" operator="lessThan" stopIfTrue="1">
      <formula>0.99*(AH14+AH15)</formula>
    </cfRule>
  </conditionalFormatting>
  <conditionalFormatting sqref="AJ13">
    <cfRule type="cellIs" priority="13" dxfId="330" operator="lessThan" stopIfTrue="1">
      <formula>0.99*(AJ14+AJ15)</formula>
    </cfRule>
  </conditionalFormatting>
  <conditionalFormatting sqref="AR13">
    <cfRule type="cellIs" priority="10" dxfId="330" operator="lessThan" stopIfTrue="1">
      <formula>0.99*(AR14+AR15)</formula>
    </cfRule>
  </conditionalFormatting>
  <conditionalFormatting sqref="AN13">
    <cfRule type="cellIs" priority="12" dxfId="330" operator="lessThan" stopIfTrue="1">
      <formula>0.99*(AN14+AN15)</formula>
    </cfRule>
  </conditionalFormatting>
  <conditionalFormatting sqref="AP13">
    <cfRule type="cellIs" priority="11" dxfId="330" operator="lessThan" stopIfTrue="1">
      <formula>0.99*(AP14+AP15)</formula>
    </cfRule>
  </conditionalFormatting>
  <conditionalFormatting sqref="AT13">
    <cfRule type="cellIs" priority="9" dxfId="330" operator="lessThan" stopIfTrue="1">
      <formula>0.99*(AT14+AT15)</formula>
    </cfRule>
  </conditionalFormatting>
  <conditionalFormatting sqref="AV13">
    <cfRule type="cellIs" priority="8" dxfId="330" operator="lessThan" stopIfTrue="1">
      <formula>0.99*(AV14+AV15)</formula>
    </cfRule>
  </conditionalFormatting>
  <conditionalFormatting sqref="AX13">
    <cfRule type="cellIs" priority="7" dxfId="330" operator="lessThan" stopIfTrue="1">
      <formula>0.99*(AX14+AX15)</formula>
    </cfRule>
  </conditionalFormatting>
  <conditionalFormatting sqref="AL10">
    <cfRule type="cellIs" priority="5" dxfId="330" operator="lessThan" stopIfTrue="1">
      <formula>AL8-AL9-(0.01*(AL8-AL9))</formula>
    </cfRule>
  </conditionalFormatting>
  <conditionalFormatting sqref="AL12">
    <cfRule type="cellIs" priority="6" dxfId="330" operator="lessThan" stopIfTrue="1">
      <formula>AL10+AL11-(0.01*(AL10+AL11))</formula>
    </cfRule>
  </conditionalFormatting>
  <conditionalFormatting sqref="AL13">
    <cfRule type="cellIs" priority="4" dxfId="330" operator="lessThan" stopIfTrue="1">
      <formula>0.99*(AL14+AL15)</formula>
    </cfRule>
  </conditionalFormatting>
  <conditionalFormatting sqref="BE32 BE35 BE38 BE29">
    <cfRule type="cellIs" priority="1" dxfId="330"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30"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30"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G95"/>
  <sheetViews>
    <sheetView showGridLines="0" zoomScale="83" zoomScaleNormal="83" zoomScaleSheetLayoutView="85" workbookViewId="0" topLeftCell="C1">
      <selection activeCell="F8" sqref="F8"/>
    </sheetView>
  </sheetViews>
  <sheetFormatPr defaultColWidth="9.33203125" defaultRowHeight="12.75"/>
  <cols>
    <col min="1" max="1" width="8" style="221" hidden="1" customWidth="1"/>
    <col min="2" max="2" width="8.83203125" style="190" hidden="1" customWidth="1"/>
    <col min="3" max="3" width="10.83203125" style="226" customWidth="1"/>
    <col min="4" max="4" width="41.83203125" style="226" customWidth="1"/>
    <col min="5" max="5" width="9.5" style="226" customWidth="1"/>
    <col min="6" max="6" width="8.5" style="226" customWidth="1"/>
    <col min="7" max="7" width="1.83203125" style="230" customWidth="1"/>
    <col min="8" max="8" width="7" style="231" hidden="1" customWidth="1"/>
    <col min="9" max="9" width="1.83203125" style="232" hidden="1"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customWidth="1"/>
    <col min="27" max="27" width="1.83203125" style="230"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2" style="230" customWidth="1"/>
    <col min="44" max="44" width="7" style="230" customWidth="1"/>
    <col min="45" max="45" width="1.83203125" style="230" customWidth="1"/>
    <col min="46" max="46" width="7" style="231" customWidth="1"/>
    <col min="47" max="47" width="1.83203125" style="226" customWidth="1"/>
    <col min="48" max="48" width="7" style="231" customWidth="1"/>
    <col min="49" max="49" width="1.83203125" style="226" customWidth="1"/>
    <col min="50" max="50" width="2" style="226" customWidth="1"/>
    <col min="51" max="51" width="2.83203125" style="224" customWidth="1"/>
    <col min="52" max="52" width="3.5" style="224" customWidth="1"/>
    <col min="53" max="53" width="30.16015625" style="224" customWidth="1"/>
    <col min="54" max="54" width="7.5" style="224" customWidth="1"/>
    <col min="55" max="55" width="4.5" style="224" customWidth="1"/>
    <col min="56" max="56" width="1.5" style="224" customWidth="1"/>
    <col min="57" max="57" width="5.33203125" style="224" customWidth="1"/>
    <col min="58" max="58" width="1.171875" style="224" customWidth="1"/>
    <col min="59" max="59" width="5.33203125" style="224" customWidth="1"/>
    <col min="60" max="60" width="0.82421875" style="224" customWidth="1"/>
    <col min="61" max="61" width="5.33203125" style="224" customWidth="1"/>
    <col min="62" max="62" width="0.82421875" style="224" customWidth="1"/>
    <col min="63" max="63" width="5.33203125" style="224" customWidth="1"/>
    <col min="64" max="64" width="0.82421875" style="224" customWidth="1"/>
    <col min="65" max="65" width="5.33203125" style="224" customWidth="1"/>
    <col min="66" max="66" width="0.82421875" style="224" customWidth="1"/>
    <col min="67" max="67" width="5.33203125" style="224" customWidth="1"/>
    <col min="68" max="68" width="0.82421875" style="224" customWidth="1"/>
    <col min="69" max="69" width="5.33203125" style="224" customWidth="1"/>
    <col min="70" max="70" width="0.82421875" style="224" customWidth="1"/>
    <col min="71" max="71" width="5.33203125" style="224" customWidth="1"/>
    <col min="72" max="72" width="0.82421875" style="224" customWidth="1"/>
    <col min="73" max="73" width="5.33203125" style="224" customWidth="1"/>
    <col min="74" max="74" width="0.82421875" style="224" customWidth="1"/>
    <col min="75" max="75" width="5.33203125" style="224" customWidth="1"/>
    <col min="76" max="76" width="0.82421875" style="224" customWidth="1"/>
    <col min="77" max="77" width="5.33203125" style="224" customWidth="1"/>
    <col min="78" max="78" width="0.82421875" style="224" customWidth="1"/>
    <col min="79" max="79" width="5.33203125" style="224" customWidth="1"/>
    <col min="80" max="80" width="0.82421875" style="224" customWidth="1"/>
    <col min="81" max="81" width="5.33203125" style="224" customWidth="1"/>
    <col min="82" max="82" width="0.82421875" style="224" customWidth="1"/>
    <col min="83" max="83" width="5.33203125" style="224" customWidth="1"/>
    <col min="84" max="84" width="0.82421875" style="224" customWidth="1"/>
    <col min="85" max="85" width="5.33203125" style="224" customWidth="1"/>
    <col min="86" max="86" width="0.82421875" style="224" customWidth="1"/>
    <col min="87" max="87" width="5.33203125" style="224" customWidth="1"/>
    <col min="88" max="88" width="0.82421875" style="224" customWidth="1"/>
    <col min="89" max="89" width="5.33203125" style="224" customWidth="1"/>
    <col min="90" max="90" width="0.82421875" style="224" customWidth="1"/>
    <col min="91" max="91" width="5.33203125" style="224" customWidth="1"/>
    <col min="92" max="92" width="0.82421875" style="224" customWidth="1"/>
    <col min="93" max="93" width="5.33203125" style="224" customWidth="1"/>
    <col min="94" max="94" width="0.82421875" style="224" customWidth="1"/>
    <col min="95" max="95" width="5.33203125" style="224" customWidth="1"/>
    <col min="96" max="96" width="0.82421875" style="224" customWidth="1"/>
    <col min="97" max="97" width="5.16015625" style="224" customWidth="1"/>
    <col min="98" max="16384" width="9.33203125" style="226" customWidth="1"/>
  </cols>
  <sheetData>
    <row r="1" spans="2:52" ht="16.5" customHeight="1">
      <c r="B1" s="190">
        <v>0</v>
      </c>
      <c r="C1" s="191" t="s">
        <v>356</v>
      </c>
      <c r="D1" s="191"/>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1"/>
      <c r="AW1" s="343"/>
      <c r="AX1" s="343"/>
      <c r="AZ1" s="201" t="s">
        <v>96</v>
      </c>
    </row>
    <row r="2" spans="5:23" ht="6" customHeight="1">
      <c r="E2" s="344"/>
      <c r="F2" s="344"/>
      <c r="G2" s="345"/>
      <c r="H2" s="346"/>
      <c r="I2" s="347"/>
      <c r="J2" s="346"/>
      <c r="K2" s="347"/>
      <c r="L2" s="346"/>
      <c r="M2" s="347"/>
      <c r="N2" s="346"/>
      <c r="O2" s="347"/>
      <c r="P2" s="346"/>
      <c r="Q2" s="347"/>
      <c r="R2" s="346"/>
      <c r="S2" s="347"/>
      <c r="T2" s="346"/>
      <c r="U2" s="347"/>
      <c r="V2" s="346"/>
      <c r="W2" s="348"/>
    </row>
    <row r="3" spans="1:99" s="365" customFormat="1" ht="17.25" customHeight="1">
      <c r="A3" s="290"/>
      <c r="B3" s="290">
        <v>508</v>
      </c>
      <c r="C3" s="349" t="s">
        <v>358</v>
      </c>
      <c r="D3" s="621" t="s">
        <v>483</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357"/>
      <c r="BB3" s="358"/>
      <c r="BC3" s="359"/>
      <c r="BD3" s="359"/>
      <c r="BE3" s="360"/>
      <c r="BF3" s="360"/>
      <c r="BG3" s="360"/>
      <c r="BH3" s="360"/>
      <c r="BI3" s="360"/>
      <c r="BJ3" s="360"/>
      <c r="BK3" s="360"/>
      <c r="BL3" s="360"/>
      <c r="BM3" s="360"/>
      <c r="BN3" s="360"/>
      <c r="BO3" s="361"/>
      <c r="BP3" s="361"/>
      <c r="BQ3" s="361"/>
      <c r="BR3" s="361"/>
      <c r="BS3" s="361"/>
      <c r="BT3" s="361"/>
      <c r="BU3" s="362"/>
      <c r="BV3" s="362"/>
      <c r="BW3" s="358"/>
      <c r="BX3" s="358"/>
      <c r="BY3" s="358"/>
      <c r="BZ3" s="358"/>
      <c r="CA3" s="358"/>
      <c r="CB3" s="358"/>
      <c r="CC3" s="362"/>
      <c r="CD3" s="362"/>
      <c r="CE3" s="358"/>
      <c r="CF3" s="358"/>
      <c r="CG3" s="358"/>
      <c r="CH3" s="358"/>
      <c r="CI3" s="358"/>
      <c r="CJ3" s="358"/>
      <c r="CK3" s="358"/>
      <c r="CL3" s="358"/>
      <c r="CM3" s="358"/>
      <c r="CN3" s="358"/>
      <c r="CO3" s="358"/>
      <c r="CP3" s="358"/>
      <c r="CQ3" s="358"/>
      <c r="CR3" s="358"/>
      <c r="CS3" s="358"/>
      <c r="CT3" s="364"/>
      <c r="CU3" s="364"/>
    </row>
    <row r="4" spans="5:53" ht="3" customHeight="1">
      <c r="E4" s="366"/>
      <c r="F4" s="366"/>
      <c r="Z4" s="353"/>
      <c r="AA4" s="348"/>
      <c r="AB4" s="353"/>
      <c r="AK4" s="345"/>
      <c r="AL4" s="346"/>
      <c r="AX4" s="320"/>
      <c r="AZ4" s="330"/>
      <c r="BA4" s="330"/>
    </row>
    <row r="5" spans="2:53" ht="17.25" customHeight="1">
      <c r="B5" s="241">
        <v>23</v>
      </c>
      <c r="C5" s="797" t="s">
        <v>101</v>
      </c>
      <c r="D5" s="797"/>
      <c r="E5" s="798"/>
      <c r="F5" s="798"/>
      <c r="G5" s="798"/>
      <c r="H5" s="799"/>
      <c r="I5" s="799"/>
      <c r="J5" s="799"/>
      <c r="K5" s="799"/>
      <c r="L5" s="799"/>
      <c r="M5" s="799"/>
      <c r="N5" s="799"/>
      <c r="O5" s="799"/>
      <c r="P5" s="799"/>
      <c r="Q5" s="799"/>
      <c r="R5" s="799"/>
      <c r="S5" s="799"/>
      <c r="T5" s="799"/>
      <c r="U5" s="799"/>
      <c r="V5" s="799"/>
      <c r="W5" s="798"/>
      <c r="X5" s="799"/>
      <c r="Y5" s="798"/>
      <c r="Z5" s="799"/>
      <c r="AA5" s="798"/>
      <c r="AB5" s="799"/>
      <c r="AC5" s="798"/>
      <c r="AD5" s="799"/>
      <c r="AE5" s="798"/>
      <c r="AF5" s="799"/>
      <c r="AG5" s="798"/>
      <c r="AH5" s="799"/>
      <c r="AI5" s="799"/>
      <c r="AJ5" s="799"/>
      <c r="AK5" s="798"/>
      <c r="AL5" s="799"/>
      <c r="AM5" s="798"/>
      <c r="AN5" s="367"/>
      <c r="AO5" s="368"/>
      <c r="AP5" s="368"/>
      <c r="AQ5" s="368"/>
      <c r="AR5" s="368"/>
      <c r="AS5" s="368"/>
      <c r="AT5" s="367"/>
      <c r="AU5" s="315"/>
      <c r="AV5" s="367"/>
      <c r="AW5" s="315"/>
      <c r="AX5" s="315"/>
      <c r="AZ5" s="369" t="s">
        <v>61</v>
      </c>
      <c r="BA5" s="330"/>
    </row>
    <row r="6" spans="5:53" ht="14.25" customHeight="1">
      <c r="E6" s="229"/>
      <c r="F6" s="229"/>
      <c r="Z6" s="636" t="s">
        <v>150</v>
      </c>
      <c r="AA6" s="370"/>
      <c r="AB6" s="371"/>
      <c r="AC6" s="372"/>
      <c r="AD6" s="371"/>
      <c r="AE6" s="372"/>
      <c r="AF6" s="371"/>
      <c r="AG6" s="373"/>
      <c r="AH6" s="371"/>
      <c r="AJ6" s="371"/>
      <c r="AK6" s="372"/>
      <c r="AL6" s="371"/>
      <c r="AN6" s="371"/>
      <c r="AO6" s="374"/>
      <c r="AP6" s="374"/>
      <c r="AQ6" s="374"/>
      <c r="AR6" s="374"/>
      <c r="AS6" s="374"/>
      <c r="AT6" s="331"/>
      <c r="AU6" s="375" t="s">
        <v>570</v>
      </c>
      <c r="AV6" s="331"/>
      <c r="AW6" s="375"/>
      <c r="AX6" s="331"/>
      <c r="AZ6" s="376" t="s">
        <v>598</v>
      </c>
      <c r="BA6" s="330"/>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3"/>
      <c r="AL7" s="243">
        <v>2010</v>
      </c>
      <c r="AM7" s="243"/>
      <c r="AN7" s="243">
        <v>2011</v>
      </c>
      <c r="AO7" s="244"/>
      <c r="AP7" s="243">
        <v>2012</v>
      </c>
      <c r="AQ7" s="243"/>
      <c r="AR7" s="243">
        <v>2013</v>
      </c>
      <c r="AS7" s="243"/>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379" customFormat="1" ht="15" customHeight="1">
      <c r="A8" s="240"/>
      <c r="B8" s="377">
        <v>24</v>
      </c>
      <c r="C8" s="250">
        <v>1</v>
      </c>
      <c r="D8" s="378" t="s">
        <v>138</v>
      </c>
      <c r="E8" s="250" t="s">
        <v>360</v>
      </c>
      <c r="F8" s="612"/>
      <c r="G8" s="627"/>
      <c r="H8" s="612"/>
      <c r="I8" s="627"/>
      <c r="J8" s="612"/>
      <c r="K8" s="627"/>
      <c r="L8" s="612"/>
      <c r="M8" s="627"/>
      <c r="N8" s="612"/>
      <c r="O8" s="627"/>
      <c r="P8" s="612"/>
      <c r="Q8" s="627"/>
      <c r="R8" s="612"/>
      <c r="S8" s="627"/>
      <c r="T8" s="612"/>
      <c r="U8" s="627"/>
      <c r="V8" s="612"/>
      <c r="W8" s="627"/>
      <c r="X8" s="612"/>
      <c r="Y8" s="627"/>
      <c r="Z8" s="612"/>
      <c r="AA8" s="627"/>
      <c r="AB8" s="612"/>
      <c r="AC8" s="627"/>
      <c r="AD8" s="612"/>
      <c r="AE8" s="627"/>
      <c r="AF8" s="612"/>
      <c r="AG8" s="627"/>
      <c r="AH8" s="612"/>
      <c r="AI8" s="627"/>
      <c r="AJ8" s="612"/>
      <c r="AK8" s="627"/>
      <c r="AL8" s="612"/>
      <c r="AM8" s="627"/>
      <c r="AN8" s="612"/>
      <c r="AO8" s="627"/>
      <c r="AP8" s="612"/>
      <c r="AQ8" s="627"/>
      <c r="AR8" s="612"/>
      <c r="AS8" s="627"/>
      <c r="AT8" s="612"/>
      <c r="AU8" s="627"/>
      <c r="AV8" s="612"/>
      <c r="AW8" s="627"/>
      <c r="AY8" s="380"/>
      <c r="AZ8" s="101">
        <v>1</v>
      </c>
      <c r="BA8" s="303" t="s">
        <v>138</v>
      </c>
      <c r="BB8" s="101" t="s">
        <v>93</v>
      </c>
      <c r="BC8" s="82" t="s">
        <v>97</v>
      </c>
      <c r="BD8" s="646"/>
      <c r="BE8" s="82" t="str">
        <f>IF(OR(ISBLANK(F8),ISBLANK(H8)),"N/A",IF(ABS((H8-F8)/F8)&gt;1,"&gt; 100%","ok"))</f>
        <v>N/A</v>
      </c>
      <c r="BF8" s="646"/>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row>
    <row r="9" spans="1:97" s="379" customFormat="1" ht="15" customHeight="1">
      <c r="A9" s="240"/>
      <c r="B9" s="377">
        <v>25</v>
      </c>
      <c r="C9" s="265">
        <v>2</v>
      </c>
      <c r="D9" s="378" t="s">
        <v>139</v>
      </c>
      <c r="E9" s="265" t="s">
        <v>360</v>
      </c>
      <c r="F9" s="612"/>
      <c r="G9" s="627"/>
      <c r="H9" s="612"/>
      <c r="I9" s="627"/>
      <c r="J9" s="612"/>
      <c r="K9" s="627"/>
      <c r="L9" s="612"/>
      <c r="M9" s="627"/>
      <c r="N9" s="612"/>
      <c r="O9" s="627"/>
      <c r="P9" s="612"/>
      <c r="Q9" s="627"/>
      <c r="R9" s="612"/>
      <c r="S9" s="627"/>
      <c r="T9" s="612"/>
      <c r="U9" s="627"/>
      <c r="V9" s="612"/>
      <c r="W9" s="627"/>
      <c r="X9" s="612"/>
      <c r="Y9" s="627"/>
      <c r="Z9" s="612"/>
      <c r="AA9" s="627"/>
      <c r="AB9" s="612"/>
      <c r="AC9" s="627"/>
      <c r="AD9" s="612"/>
      <c r="AE9" s="627"/>
      <c r="AF9" s="612"/>
      <c r="AG9" s="627"/>
      <c r="AH9" s="612"/>
      <c r="AI9" s="627"/>
      <c r="AJ9" s="612"/>
      <c r="AK9" s="627"/>
      <c r="AL9" s="612"/>
      <c r="AM9" s="627"/>
      <c r="AN9" s="612"/>
      <c r="AO9" s="627"/>
      <c r="AP9" s="612"/>
      <c r="AQ9" s="627"/>
      <c r="AR9" s="612"/>
      <c r="AS9" s="627"/>
      <c r="AT9" s="612"/>
      <c r="AU9" s="627"/>
      <c r="AV9" s="612"/>
      <c r="AW9" s="627"/>
      <c r="AY9" s="381"/>
      <c r="AZ9" s="84">
        <v>2</v>
      </c>
      <c r="BA9" s="303" t="s">
        <v>139</v>
      </c>
      <c r="BB9" s="84" t="s">
        <v>93</v>
      </c>
      <c r="BC9" s="82" t="s">
        <v>97</v>
      </c>
      <c r="BD9" s="646"/>
      <c r="BE9" s="82" t="str">
        <f>IF(OR(ISBLANK(F9),ISBLANK(H9)),"N/A",IF(ABS((H9-F9)/F9)&gt;1,"&gt; 100%","ok"))</f>
        <v>N/A</v>
      </c>
      <c r="BF9" s="646"/>
      <c r="BG9" s="82" t="str">
        <f>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0" ref="CM9:CM28">IF(OR(ISBLANK(AN9),ISBLANK(AP9)),"N/A",IF(ABS((AP9-AN9)/AN9)&gt;0.25,"&gt; 25%","ok"))</f>
        <v>N/A</v>
      </c>
      <c r="CN9" s="82"/>
      <c r="CO9" s="82" t="str">
        <f>IF(OR(ISBLANK(AP9),ISBLANK(AR9)),"N/A",IF(ABS((AR9-AP9)/AP9)&gt;0.25,"&gt; 25%","ok"))</f>
        <v>N/A</v>
      </c>
      <c r="CP9" s="82"/>
      <c r="CQ9" s="82" t="str">
        <f>IF(OR(ISBLANK(AR9),ISBLANK(AT9)),"N/A",IF(ABS((AT9-AR9)/AR9)&gt;0.25,"&gt; 25%","ok"))</f>
        <v>N/A</v>
      </c>
      <c r="CR9" s="82"/>
      <c r="CS9" s="82" t="str">
        <f aca="true" t="shared" si="1" ref="CS9:CS28">IF(OR(ISBLANK(AT9),ISBLANK(AV9)),"N/A",IF(ABS((AV9-AT9)/AT9)&gt;0.25,"&gt; 25%","ok"))</f>
        <v>N/A</v>
      </c>
    </row>
    <row r="10" spans="1:97" s="386" customFormat="1" ht="15" customHeight="1">
      <c r="A10" s="382" t="s">
        <v>76</v>
      </c>
      <c r="B10" s="383">
        <v>5001</v>
      </c>
      <c r="C10" s="384">
        <v>3</v>
      </c>
      <c r="D10" s="385" t="s">
        <v>140</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Y10" s="387"/>
      <c r="AZ10" s="388">
        <v>3</v>
      </c>
      <c r="BA10" s="389" t="s">
        <v>140</v>
      </c>
      <c r="BB10" s="84" t="s">
        <v>93</v>
      </c>
      <c r="BC10" s="110" t="s">
        <v>97</v>
      </c>
      <c r="BD10" s="655"/>
      <c r="BE10" s="82" t="str">
        <f aca="true" t="shared" si="2" ref="BE10:BE26">IF(OR(ISBLANK(F10),ISBLANK(H10)),"N/A",IF(ABS((H10-F10)/F10)&gt;1,"&gt; 100%","ok"))</f>
        <v>N/A</v>
      </c>
      <c r="BF10" s="646"/>
      <c r="BG10" s="82" t="str">
        <f>IF(OR(ISBLANK(H10),ISBLANK(J10)),"N/A",IF(ABS((J10-H10)/H10)&gt;0.25,"&gt; 25%","ok"))</f>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 aca="true" t="shared" si="3" ref="BO10:BO26">IF(OR(ISBLANK(P10),ISBLANK(R10)),"N/A",IF(ABS((R10-P10)/P10)&gt;0.25,"&gt; 25%","ok"))</f>
        <v>N/A</v>
      </c>
      <c r="BP10" s="82"/>
      <c r="BQ10" s="82" t="str">
        <f aca="true" t="shared" si="4" ref="BQ10:BQ28">IF(OR(ISBLANK(R10),ISBLANK(T10)),"N/A",IF(ABS((T10-R10)/R10)&gt;0.25,"&gt; 25%","ok"))</f>
        <v>N/A</v>
      </c>
      <c r="BR10" s="82"/>
      <c r="BS10" s="82" t="str">
        <f aca="true" t="shared" si="5" ref="BS10:BS28">IF(OR(ISBLANK(T10),ISBLANK(V10)),"N/A",IF(ABS((V10-T10)/T10)&gt;0.25,"&gt; 25%","ok"))</f>
        <v>N/A</v>
      </c>
      <c r="BT10" s="82"/>
      <c r="BU10" s="82" t="str">
        <f aca="true" t="shared" si="6" ref="BU10:BU28">IF(OR(ISBLANK(V10),ISBLANK(X10)),"N/A",IF(ABS((X10-V10)/V10)&gt;0.25,"&gt; 25%","ok"))</f>
        <v>N/A</v>
      </c>
      <c r="BV10" s="82"/>
      <c r="BW10" s="82" t="str">
        <f aca="true" t="shared" si="7" ref="BW10:BW28">IF(OR(ISBLANK(X10),ISBLANK(Z10)),"N/A",IF(ABS((Z10-X10)/X10)&gt;0.25,"&gt; 25%","ok"))</f>
        <v>N/A</v>
      </c>
      <c r="BX10" s="82"/>
      <c r="BY10" s="82" t="str">
        <f aca="true" t="shared" si="8" ref="BY10:BY28">IF(OR(ISBLANK(Z10),ISBLANK(AB10)),"N/A",IF(ABS((AB10-Z10)/Z10)&gt;0.25,"&gt; 25%","ok"))</f>
        <v>N/A</v>
      </c>
      <c r="BZ10" s="82"/>
      <c r="CA10" s="82" t="str">
        <f aca="true" t="shared" si="9" ref="CA10:CA28">IF(OR(ISBLANK(AB10),ISBLANK(AD10)),"N/A",IF(ABS((AD10-AB10)/AB10)&gt;0.25,"&gt; 25%","ok"))</f>
        <v>N/A</v>
      </c>
      <c r="CB10" s="82"/>
      <c r="CC10" s="82" t="str">
        <f aca="true" t="shared" si="10" ref="CC10:CC28">IF(OR(ISBLANK(AD10),ISBLANK(AF10)),"N/A",IF(ABS((AF10-AD10)/AD10)&gt;0.25,"&gt; 25%","ok"))</f>
        <v>N/A</v>
      </c>
      <c r="CD10" s="82"/>
      <c r="CE10" s="82" t="str">
        <f aca="true" t="shared" si="11" ref="CE10:CE28">IF(OR(ISBLANK(AF10),ISBLANK(AH10)),"N/A",IF(ABS((AH10-AF10)/AF10)&gt;0.25,"&gt; 25%","ok"))</f>
        <v>N/A</v>
      </c>
      <c r="CF10" s="82"/>
      <c r="CG10" s="82" t="str">
        <f aca="true" t="shared" si="12" ref="CG10:CG28">IF(OR(ISBLANK(AH10),ISBLANK(AJ10)),"N/A",IF(ABS((AJ10-AH10)/AH10)&gt;0.25,"&gt; 25%","ok"))</f>
        <v>N/A</v>
      </c>
      <c r="CH10" s="82"/>
      <c r="CI10" s="82" t="str">
        <f aca="true" t="shared" si="13" ref="CI10:CI28">IF(OR(ISBLANK(AJ10),ISBLANK(AL10)),"N/A",IF(ABS((AL10-AJ10)/AJ10)&gt;0.25,"&gt; 25%","ok"))</f>
        <v>N/A</v>
      </c>
      <c r="CJ10" s="82"/>
      <c r="CK10" s="82" t="str">
        <f aca="true" t="shared" si="14" ref="CK10:CK28">IF(OR(ISBLANK(AL10),ISBLANK(AN10)),"N/A",IF(ABS((AN10-AL10)/AL10)&gt;0.25,"&gt; 25%","ok"))</f>
        <v>N/A</v>
      </c>
      <c r="CL10" s="82"/>
      <c r="CM10" s="82" t="str">
        <f t="shared" si="0"/>
        <v>N/A</v>
      </c>
      <c r="CN10" s="82"/>
      <c r="CO10" s="82" t="str">
        <f aca="true" t="shared" si="15" ref="CO10:CO28">IF(OR(ISBLANK(AP10),ISBLANK(AR10)),"N/A",IF(ABS((AR10-AP10)/AP10)&gt;0.25,"&gt; 25%","ok"))</f>
        <v>N/A</v>
      </c>
      <c r="CP10" s="82"/>
      <c r="CQ10" s="82" t="str">
        <f aca="true" t="shared" si="16" ref="CQ10:CQ28">IF(OR(ISBLANK(AR10),ISBLANK(AT10)),"N/A",IF(ABS((AT10-AR10)/AR10)&gt;0.25,"&gt; 25%","ok"))</f>
        <v>N/A</v>
      </c>
      <c r="CR10" s="82"/>
      <c r="CS10" s="82" t="str">
        <f t="shared" si="1"/>
        <v>N/A</v>
      </c>
    </row>
    <row r="11" spans="1:97" s="390" customFormat="1" ht="15" customHeight="1">
      <c r="A11" s="221"/>
      <c r="B11" s="377">
        <v>5002</v>
      </c>
      <c r="C11" s="633"/>
      <c r="D11" s="632" t="s">
        <v>504</v>
      </c>
      <c r="E11" s="633"/>
      <c r="F11" s="634"/>
      <c r="G11" s="635"/>
      <c r="H11" s="634"/>
      <c r="I11" s="635"/>
      <c r="J11" s="634"/>
      <c r="K11" s="635"/>
      <c r="L11" s="634"/>
      <c r="M11" s="635"/>
      <c r="N11" s="634"/>
      <c r="O11" s="635"/>
      <c r="P11" s="634"/>
      <c r="Q11" s="635"/>
      <c r="R11" s="634"/>
      <c r="S11" s="635"/>
      <c r="T11" s="634"/>
      <c r="U11" s="635"/>
      <c r="V11" s="634"/>
      <c r="W11" s="635"/>
      <c r="X11" s="634"/>
      <c r="Y11" s="635"/>
      <c r="Z11" s="634"/>
      <c r="AA11" s="635"/>
      <c r="AB11" s="634"/>
      <c r="AC11" s="635"/>
      <c r="AD11" s="634"/>
      <c r="AE11" s="635"/>
      <c r="AF11" s="634"/>
      <c r="AG11" s="635"/>
      <c r="AH11" s="634"/>
      <c r="AI11" s="635"/>
      <c r="AJ11" s="634"/>
      <c r="AK11" s="635"/>
      <c r="AL11" s="634"/>
      <c r="AM11" s="635"/>
      <c r="AN11" s="634"/>
      <c r="AO11" s="635"/>
      <c r="AP11" s="634"/>
      <c r="AQ11" s="635"/>
      <c r="AR11" s="634"/>
      <c r="AS11" s="635"/>
      <c r="AT11" s="634"/>
      <c r="AU11" s="635"/>
      <c r="AV11" s="634"/>
      <c r="AW11" s="635"/>
      <c r="AY11" s="224"/>
      <c r="AZ11" s="84"/>
      <c r="BA11" s="391" t="s">
        <v>504</v>
      </c>
      <c r="BB11" s="84"/>
      <c r="BC11" s="82"/>
      <c r="BD11" s="646"/>
      <c r="BE11" s="82"/>
      <c r="BF11" s="646"/>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row>
    <row r="12" spans="1:97" s="390" customFormat="1" ht="15" customHeight="1">
      <c r="A12" s="221"/>
      <c r="B12" s="377">
        <v>255</v>
      </c>
      <c r="C12" s="265">
        <v>4</v>
      </c>
      <c r="D12" s="392" t="s">
        <v>148</v>
      </c>
      <c r="E12" s="265" t="s">
        <v>360</v>
      </c>
      <c r="F12" s="612"/>
      <c r="G12" s="627"/>
      <c r="H12" s="612"/>
      <c r="I12" s="627"/>
      <c r="J12" s="612"/>
      <c r="K12" s="627"/>
      <c r="L12" s="612"/>
      <c r="M12" s="627"/>
      <c r="N12" s="612"/>
      <c r="O12" s="627"/>
      <c r="P12" s="612"/>
      <c r="Q12" s="627"/>
      <c r="R12" s="612"/>
      <c r="S12" s="627"/>
      <c r="T12" s="612"/>
      <c r="U12" s="627"/>
      <c r="V12" s="612"/>
      <c r="W12" s="627"/>
      <c r="X12" s="612"/>
      <c r="Y12" s="627"/>
      <c r="Z12" s="612"/>
      <c r="AA12" s="627"/>
      <c r="AB12" s="612"/>
      <c r="AC12" s="627"/>
      <c r="AD12" s="612"/>
      <c r="AE12" s="627"/>
      <c r="AF12" s="612"/>
      <c r="AG12" s="627"/>
      <c r="AH12" s="612"/>
      <c r="AI12" s="627"/>
      <c r="AJ12" s="612"/>
      <c r="AK12" s="627"/>
      <c r="AL12" s="612"/>
      <c r="AM12" s="627"/>
      <c r="AN12" s="612"/>
      <c r="AO12" s="627"/>
      <c r="AP12" s="612"/>
      <c r="AQ12" s="627"/>
      <c r="AR12" s="612"/>
      <c r="AS12" s="627"/>
      <c r="AT12" s="612"/>
      <c r="AU12" s="627"/>
      <c r="AV12" s="612"/>
      <c r="AW12" s="627"/>
      <c r="AY12" s="224"/>
      <c r="AZ12" s="84">
        <v>4</v>
      </c>
      <c r="BA12" s="393" t="s">
        <v>148</v>
      </c>
      <c r="BB12" s="84" t="s">
        <v>93</v>
      </c>
      <c r="BC12" s="82" t="s">
        <v>97</v>
      </c>
      <c r="BD12" s="646"/>
      <c r="BE12" s="82" t="str">
        <f t="shared" si="2"/>
        <v>N/A</v>
      </c>
      <c r="BF12" s="646"/>
      <c r="BG12" s="82" t="str">
        <f aca="true" t="shared" si="17" ref="BG12:BG24">IF(OR(ISBLANK(H12),ISBLANK(J12)),"N/A",IF(ABS((J12-H12)/H12)&gt;0.25,"&gt; 25%","ok"))</f>
        <v>N/A</v>
      </c>
      <c r="BH12" s="82"/>
      <c r="BI12" s="82" t="str">
        <f aca="true" t="shared" si="18" ref="BI12:BI24">IF(OR(ISBLANK(J12),ISBLANK(L12)),"N/A",IF(ABS((L12-J12)/J12)&gt;0.25,"&gt; 25%","ok"))</f>
        <v>N/A</v>
      </c>
      <c r="BJ12" s="82"/>
      <c r="BK12" s="82" t="str">
        <f aca="true" t="shared" si="19" ref="BK12:BK24">IF(OR(ISBLANK(L12),ISBLANK(N12)),"N/A",IF(ABS((N12-L12)/L12)&gt;0.25,"&gt; 25%","ok"))</f>
        <v>N/A</v>
      </c>
      <c r="BL12" s="82"/>
      <c r="BM12" s="82" t="str">
        <f aca="true" t="shared" si="20" ref="BM12:BM24">IF(OR(ISBLANK(N12),ISBLANK(P12)),"N/A",IF(ABS((P12-N12)/N12)&gt;0.25,"&gt; 25%","ok"))</f>
        <v>N/A</v>
      </c>
      <c r="BN12" s="82"/>
      <c r="BO12" s="82" t="str">
        <f t="shared" si="3"/>
        <v>N/A</v>
      </c>
      <c r="BP12" s="82"/>
      <c r="BQ12" s="82" t="str">
        <f t="shared" si="4"/>
        <v>N/A</v>
      </c>
      <c r="BR12" s="82"/>
      <c r="BS12" s="82" t="str">
        <f t="shared" si="5"/>
        <v>N/A</v>
      </c>
      <c r="BT12" s="82"/>
      <c r="BU12" s="82" t="str">
        <f t="shared" si="6"/>
        <v>N/A</v>
      </c>
      <c r="BV12" s="82"/>
      <c r="BW12" s="82" t="str">
        <f t="shared" si="7"/>
        <v>N/A</v>
      </c>
      <c r="BX12" s="82"/>
      <c r="BY12" s="82" t="str">
        <f t="shared" si="8"/>
        <v>N/A</v>
      </c>
      <c r="BZ12" s="82"/>
      <c r="CA12" s="82" t="str">
        <f t="shared" si="9"/>
        <v>N/A</v>
      </c>
      <c r="CB12" s="82"/>
      <c r="CC12" s="82" t="str">
        <f t="shared" si="10"/>
        <v>N/A</v>
      </c>
      <c r="CD12" s="82"/>
      <c r="CE12" s="82" t="str">
        <f t="shared" si="11"/>
        <v>N/A</v>
      </c>
      <c r="CF12" s="82"/>
      <c r="CG12" s="82" t="str">
        <f t="shared" si="12"/>
        <v>N/A</v>
      </c>
      <c r="CH12" s="82"/>
      <c r="CI12" s="82" t="str">
        <f t="shared" si="13"/>
        <v>N/A</v>
      </c>
      <c r="CJ12" s="82"/>
      <c r="CK12" s="82" t="str">
        <f t="shared" si="14"/>
        <v>N/A</v>
      </c>
      <c r="CL12" s="82"/>
      <c r="CM12" s="82" t="str">
        <f t="shared" si="0"/>
        <v>N/A</v>
      </c>
      <c r="CN12" s="82"/>
      <c r="CO12" s="82" t="str">
        <f t="shared" si="15"/>
        <v>N/A</v>
      </c>
      <c r="CP12" s="82"/>
      <c r="CQ12" s="82" t="str">
        <f t="shared" si="16"/>
        <v>N/A</v>
      </c>
      <c r="CR12" s="82"/>
      <c r="CS12" s="82" t="str">
        <f t="shared" si="1"/>
        <v>N/A</v>
      </c>
    </row>
    <row r="13" spans="1:97" s="390" customFormat="1" ht="15" customHeight="1">
      <c r="A13" s="221"/>
      <c r="B13" s="377">
        <v>256</v>
      </c>
      <c r="C13" s="265">
        <v>5</v>
      </c>
      <c r="D13" s="392" t="s">
        <v>448</v>
      </c>
      <c r="E13" s="265" t="s">
        <v>360</v>
      </c>
      <c r="F13" s="612"/>
      <c r="G13" s="627"/>
      <c r="H13" s="612"/>
      <c r="I13" s="627"/>
      <c r="J13" s="612"/>
      <c r="K13" s="627"/>
      <c r="L13" s="612"/>
      <c r="M13" s="627"/>
      <c r="N13" s="612"/>
      <c r="O13" s="627"/>
      <c r="P13" s="612"/>
      <c r="Q13" s="627"/>
      <c r="R13" s="612"/>
      <c r="S13" s="627"/>
      <c r="T13" s="612"/>
      <c r="U13" s="627"/>
      <c r="V13" s="612"/>
      <c r="W13" s="627"/>
      <c r="X13" s="612"/>
      <c r="Y13" s="627"/>
      <c r="Z13" s="612"/>
      <c r="AA13" s="627"/>
      <c r="AB13" s="612"/>
      <c r="AC13" s="627"/>
      <c r="AD13" s="612"/>
      <c r="AE13" s="627"/>
      <c r="AF13" s="612"/>
      <c r="AG13" s="627"/>
      <c r="AH13" s="612"/>
      <c r="AI13" s="627"/>
      <c r="AJ13" s="612"/>
      <c r="AK13" s="627"/>
      <c r="AL13" s="612"/>
      <c r="AM13" s="627"/>
      <c r="AN13" s="612"/>
      <c r="AO13" s="627"/>
      <c r="AP13" s="612"/>
      <c r="AQ13" s="627"/>
      <c r="AR13" s="612"/>
      <c r="AS13" s="627"/>
      <c r="AT13" s="612"/>
      <c r="AU13" s="627"/>
      <c r="AV13" s="612"/>
      <c r="AW13" s="627"/>
      <c r="AY13" s="224"/>
      <c r="AZ13" s="84">
        <v>5</v>
      </c>
      <c r="BA13" s="393" t="s">
        <v>448</v>
      </c>
      <c r="BB13" s="84" t="s">
        <v>93</v>
      </c>
      <c r="BC13" s="82" t="s">
        <v>97</v>
      </c>
      <c r="BD13" s="646"/>
      <c r="BE13" s="82" t="str">
        <f t="shared" si="2"/>
        <v>N/A</v>
      </c>
      <c r="BF13" s="646"/>
      <c r="BG13" s="82" t="str">
        <f t="shared" si="17"/>
        <v>N/A</v>
      </c>
      <c r="BH13" s="82"/>
      <c r="BI13" s="82" t="str">
        <f t="shared" si="18"/>
        <v>N/A</v>
      </c>
      <c r="BJ13" s="82"/>
      <c r="BK13" s="82" t="str">
        <f t="shared" si="19"/>
        <v>N/A</v>
      </c>
      <c r="BL13" s="82"/>
      <c r="BM13" s="82" t="str">
        <f t="shared" si="20"/>
        <v>N/A</v>
      </c>
      <c r="BN13" s="82"/>
      <c r="BO13" s="82" t="str">
        <f t="shared" si="3"/>
        <v>N/A</v>
      </c>
      <c r="BP13" s="82"/>
      <c r="BQ13" s="82" t="str">
        <f t="shared" si="4"/>
        <v>N/A</v>
      </c>
      <c r="BR13" s="82"/>
      <c r="BS13" s="82" t="str">
        <f t="shared" si="5"/>
        <v>N/A</v>
      </c>
      <c r="BT13" s="82"/>
      <c r="BU13" s="82" t="str">
        <f t="shared" si="6"/>
        <v>N/A</v>
      </c>
      <c r="BV13" s="82"/>
      <c r="BW13" s="82" t="str">
        <f t="shared" si="7"/>
        <v>N/A</v>
      </c>
      <c r="BX13" s="82"/>
      <c r="BY13" s="82" t="str">
        <f t="shared" si="8"/>
        <v>N/A</v>
      </c>
      <c r="BZ13" s="82"/>
      <c r="CA13" s="82" t="str">
        <f t="shared" si="9"/>
        <v>N/A</v>
      </c>
      <c r="CB13" s="82"/>
      <c r="CC13" s="82" t="str">
        <f t="shared" si="10"/>
        <v>N/A</v>
      </c>
      <c r="CD13" s="82"/>
      <c r="CE13" s="82" t="str">
        <f t="shared" si="11"/>
        <v>N/A</v>
      </c>
      <c r="CF13" s="82"/>
      <c r="CG13" s="82" t="str">
        <f t="shared" si="12"/>
        <v>N/A</v>
      </c>
      <c r="CH13" s="82"/>
      <c r="CI13" s="82" t="str">
        <f t="shared" si="13"/>
        <v>N/A</v>
      </c>
      <c r="CJ13" s="82"/>
      <c r="CK13" s="82" t="str">
        <f t="shared" si="14"/>
        <v>N/A</v>
      </c>
      <c r="CL13" s="82"/>
      <c r="CM13" s="82" t="str">
        <f t="shared" si="0"/>
        <v>N/A</v>
      </c>
      <c r="CN13" s="82"/>
      <c r="CO13" s="82" t="str">
        <f t="shared" si="15"/>
        <v>N/A</v>
      </c>
      <c r="CP13" s="82"/>
      <c r="CQ13" s="82" t="str">
        <f t="shared" si="16"/>
        <v>N/A</v>
      </c>
      <c r="CR13" s="82"/>
      <c r="CS13" s="82" t="str">
        <f t="shared" si="1"/>
        <v>N/A</v>
      </c>
    </row>
    <row r="14" spans="1:97" s="390" customFormat="1" ht="15" customHeight="1">
      <c r="A14" s="221"/>
      <c r="B14" s="377">
        <v>257</v>
      </c>
      <c r="C14" s="265">
        <v>6</v>
      </c>
      <c r="D14" s="392" t="s">
        <v>137</v>
      </c>
      <c r="E14" s="265" t="s">
        <v>360</v>
      </c>
      <c r="F14" s="612"/>
      <c r="G14" s="627"/>
      <c r="H14" s="612"/>
      <c r="I14" s="627"/>
      <c r="J14" s="612"/>
      <c r="K14" s="627"/>
      <c r="L14" s="612"/>
      <c r="M14" s="627"/>
      <c r="N14" s="612"/>
      <c r="O14" s="627"/>
      <c r="P14" s="612"/>
      <c r="Q14" s="627"/>
      <c r="R14" s="612"/>
      <c r="S14" s="627"/>
      <c r="T14" s="612"/>
      <c r="U14" s="627"/>
      <c r="V14" s="612"/>
      <c r="W14" s="627"/>
      <c r="X14" s="612"/>
      <c r="Y14" s="627"/>
      <c r="Z14" s="612"/>
      <c r="AA14" s="627"/>
      <c r="AB14" s="612"/>
      <c r="AC14" s="627"/>
      <c r="AD14" s="612"/>
      <c r="AE14" s="627"/>
      <c r="AF14" s="612"/>
      <c r="AG14" s="627"/>
      <c r="AH14" s="612"/>
      <c r="AI14" s="627"/>
      <c r="AJ14" s="612"/>
      <c r="AK14" s="627"/>
      <c r="AL14" s="612"/>
      <c r="AM14" s="627"/>
      <c r="AN14" s="612"/>
      <c r="AO14" s="627"/>
      <c r="AP14" s="612"/>
      <c r="AQ14" s="627"/>
      <c r="AR14" s="612"/>
      <c r="AS14" s="627"/>
      <c r="AT14" s="612"/>
      <c r="AU14" s="627"/>
      <c r="AV14" s="612"/>
      <c r="AW14" s="627"/>
      <c r="AY14" s="224"/>
      <c r="AZ14" s="84">
        <v>6</v>
      </c>
      <c r="BA14" s="393" t="s">
        <v>137</v>
      </c>
      <c r="BB14" s="84" t="s">
        <v>93</v>
      </c>
      <c r="BC14" s="82" t="s">
        <v>97</v>
      </c>
      <c r="BD14" s="646"/>
      <c r="BE14" s="82" t="str">
        <f t="shared" si="2"/>
        <v>N/A</v>
      </c>
      <c r="BF14" s="646"/>
      <c r="BG14" s="82" t="str">
        <f>IF(OR(ISBLANK(H14),ISBLANK(J14)),"N/A",IF(ABS((J14-H14)/H14)&gt;0.25,"&gt; 25%","ok"))</f>
        <v>N/A</v>
      </c>
      <c r="BH14" s="82"/>
      <c r="BI14" s="82" t="str">
        <f t="shared" si="18"/>
        <v>N/A</v>
      </c>
      <c r="BJ14" s="82"/>
      <c r="BK14" s="82" t="str">
        <f t="shared" si="19"/>
        <v>N/A</v>
      </c>
      <c r="BL14" s="82"/>
      <c r="BM14" s="82" t="str">
        <f t="shared" si="20"/>
        <v>N/A</v>
      </c>
      <c r="BN14" s="82"/>
      <c r="BO14" s="82" t="str">
        <f t="shared" si="3"/>
        <v>N/A</v>
      </c>
      <c r="BP14" s="82"/>
      <c r="BQ14" s="82" t="str">
        <f t="shared" si="4"/>
        <v>N/A</v>
      </c>
      <c r="BR14" s="82"/>
      <c r="BS14" s="82" t="str">
        <f t="shared" si="5"/>
        <v>N/A</v>
      </c>
      <c r="BT14" s="82"/>
      <c r="BU14" s="82" t="str">
        <f t="shared" si="6"/>
        <v>N/A</v>
      </c>
      <c r="BV14" s="82"/>
      <c r="BW14" s="82" t="str">
        <f t="shared" si="7"/>
        <v>N/A</v>
      </c>
      <c r="BX14" s="82"/>
      <c r="BY14" s="82" t="str">
        <f t="shared" si="8"/>
        <v>N/A</v>
      </c>
      <c r="BZ14" s="82"/>
      <c r="CA14" s="82" t="str">
        <f t="shared" si="9"/>
        <v>N/A</v>
      </c>
      <c r="CB14" s="82"/>
      <c r="CC14" s="82" t="str">
        <f t="shared" si="10"/>
        <v>N/A</v>
      </c>
      <c r="CD14" s="82"/>
      <c r="CE14" s="82" t="str">
        <f t="shared" si="11"/>
        <v>N/A</v>
      </c>
      <c r="CF14" s="82"/>
      <c r="CG14" s="82" t="str">
        <f t="shared" si="12"/>
        <v>N/A</v>
      </c>
      <c r="CH14" s="82"/>
      <c r="CI14" s="82" t="str">
        <f t="shared" si="13"/>
        <v>N/A</v>
      </c>
      <c r="CJ14" s="82"/>
      <c r="CK14" s="82" t="str">
        <f t="shared" si="14"/>
        <v>N/A</v>
      </c>
      <c r="CL14" s="82"/>
      <c r="CM14" s="82" t="str">
        <f t="shared" si="0"/>
        <v>N/A</v>
      </c>
      <c r="CN14" s="82"/>
      <c r="CO14" s="82" t="str">
        <f t="shared" si="15"/>
        <v>N/A</v>
      </c>
      <c r="CP14" s="82"/>
      <c r="CQ14" s="82" t="str">
        <f t="shared" si="16"/>
        <v>N/A</v>
      </c>
      <c r="CR14" s="82"/>
      <c r="CS14" s="82" t="str">
        <f t="shared" si="1"/>
        <v>N/A</v>
      </c>
    </row>
    <row r="15" spans="1:97" s="390" customFormat="1" ht="15" customHeight="1">
      <c r="A15" s="221"/>
      <c r="B15" s="377">
        <v>258</v>
      </c>
      <c r="C15" s="265">
        <v>7</v>
      </c>
      <c r="D15" s="392" t="s">
        <v>567</v>
      </c>
      <c r="E15" s="265" t="s">
        <v>360</v>
      </c>
      <c r="F15" s="612"/>
      <c r="G15" s="627"/>
      <c r="H15" s="612"/>
      <c r="I15" s="627"/>
      <c r="J15" s="612"/>
      <c r="K15" s="627"/>
      <c r="L15" s="612"/>
      <c r="M15" s="627"/>
      <c r="N15" s="612"/>
      <c r="O15" s="627"/>
      <c r="P15" s="612"/>
      <c r="Q15" s="627"/>
      <c r="R15" s="612"/>
      <c r="S15" s="627"/>
      <c r="T15" s="612"/>
      <c r="U15" s="627"/>
      <c r="V15" s="612"/>
      <c r="W15" s="627"/>
      <c r="X15" s="612"/>
      <c r="Y15" s="627"/>
      <c r="Z15" s="612"/>
      <c r="AA15" s="627"/>
      <c r="AB15" s="612"/>
      <c r="AC15" s="627"/>
      <c r="AD15" s="612"/>
      <c r="AE15" s="627"/>
      <c r="AF15" s="612"/>
      <c r="AG15" s="627"/>
      <c r="AH15" s="612"/>
      <c r="AI15" s="627"/>
      <c r="AJ15" s="612"/>
      <c r="AK15" s="627"/>
      <c r="AL15" s="612"/>
      <c r="AM15" s="627"/>
      <c r="AN15" s="612"/>
      <c r="AO15" s="627"/>
      <c r="AP15" s="612"/>
      <c r="AQ15" s="627"/>
      <c r="AR15" s="612"/>
      <c r="AS15" s="627"/>
      <c r="AT15" s="612"/>
      <c r="AU15" s="627"/>
      <c r="AV15" s="612"/>
      <c r="AW15" s="627"/>
      <c r="AY15" s="224"/>
      <c r="AZ15" s="84">
        <v>7</v>
      </c>
      <c r="BA15" s="393" t="s">
        <v>567</v>
      </c>
      <c r="BB15" s="84" t="s">
        <v>93</v>
      </c>
      <c r="BC15" s="82" t="s">
        <v>97</v>
      </c>
      <c r="BD15" s="646"/>
      <c r="BE15" s="82" t="str">
        <f t="shared" si="2"/>
        <v>N/A</v>
      </c>
      <c r="BF15" s="646"/>
      <c r="BG15" s="82" t="str">
        <f t="shared" si="17"/>
        <v>N/A</v>
      </c>
      <c r="BH15" s="82"/>
      <c r="BI15" s="82" t="str">
        <f t="shared" si="18"/>
        <v>N/A</v>
      </c>
      <c r="BJ15" s="82"/>
      <c r="BK15" s="82" t="str">
        <f t="shared" si="19"/>
        <v>N/A</v>
      </c>
      <c r="BL15" s="82"/>
      <c r="BM15" s="82" t="str">
        <f t="shared" si="20"/>
        <v>N/A</v>
      </c>
      <c r="BN15" s="82"/>
      <c r="BO15" s="82" t="str">
        <f t="shared" si="3"/>
        <v>N/A</v>
      </c>
      <c r="BP15" s="82"/>
      <c r="BQ15" s="82" t="str">
        <f t="shared" si="4"/>
        <v>N/A</v>
      </c>
      <c r="BR15" s="82"/>
      <c r="BS15" s="82" t="str">
        <f t="shared" si="5"/>
        <v>N/A</v>
      </c>
      <c r="BT15" s="82"/>
      <c r="BU15" s="82" t="str">
        <f t="shared" si="6"/>
        <v>N/A</v>
      </c>
      <c r="BV15" s="82"/>
      <c r="BW15" s="82" t="str">
        <f t="shared" si="7"/>
        <v>N/A</v>
      </c>
      <c r="BX15" s="82"/>
      <c r="BY15" s="82" t="str">
        <f t="shared" si="8"/>
        <v>N/A</v>
      </c>
      <c r="BZ15" s="82"/>
      <c r="CA15" s="82" t="str">
        <f t="shared" si="9"/>
        <v>N/A</v>
      </c>
      <c r="CB15" s="82"/>
      <c r="CC15" s="82" t="str">
        <f t="shared" si="10"/>
        <v>N/A</v>
      </c>
      <c r="CD15" s="82"/>
      <c r="CE15" s="82" t="str">
        <f t="shared" si="11"/>
        <v>N/A</v>
      </c>
      <c r="CF15" s="82"/>
      <c r="CG15" s="82" t="str">
        <f t="shared" si="12"/>
        <v>N/A</v>
      </c>
      <c r="CH15" s="82"/>
      <c r="CI15" s="82" t="str">
        <f t="shared" si="13"/>
        <v>N/A</v>
      </c>
      <c r="CJ15" s="82"/>
      <c r="CK15" s="82" t="str">
        <f t="shared" si="14"/>
        <v>N/A</v>
      </c>
      <c r="CL15" s="82"/>
      <c r="CM15" s="82" t="str">
        <f t="shared" si="0"/>
        <v>N/A</v>
      </c>
      <c r="CN15" s="82"/>
      <c r="CO15" s="82" t="str">
        <f t="shared" si="15"/>
        <v>N/A</v>
      </c>
      <c r="CP15" s="82"/>
      <c r="CQ15" s="82" t="str">
        <f t="shared" si="16"/>
        <v>N/A</v>
      </c>
      <c r="CR15" s="82"/>
      <c r="CS15" s="82" t="str">
        <f t="shared" si="1"/>
        <v>N/A</v>
      </c>
    </row>
    <row r="16" spans="1:97" s="390" customFormat="1" ht="15" customHeight="1">
      <c r="A16" s="221"/>
      <c r="B16" s="377">
        <v>259</v>
      </c>
      <c r="C16" s="265">
        <v>8</v>
      </c>
      <c r="D16" s="394" t="s">
        <v>199</v>
      </c>
      <c r="E16" s="265" t="s">
        <v>360</v>
      </c>
      <c r="F16" s="612"/>
      <c r="G16" s="627"/>
      <c r="H16" s="612"/>
      <c r="I16" s="627"/>
      <c r="J16" s="612"/>
      <c r="K16" s="627"/>
      <c r="L16" s="612"/>
      <c r="M16" s="627"/>
      <c r="N16" s="612"/>
      <c r="O16" s="627"/>
      <c r="P16" s="612"/>
      <c r="Q16" s="627"/>
      <c r="R16" s="612"/>
      <c r="S16" s="627"/>
      <c r="T16" s="612"/>
      <c r="U16" s="627"/>
      <c r="V16" s="612"/>
      <c r="W16" s="627"/>
      <c r="X16" s="612"/>
      <c r="Y16" s="627"/>
      <c r="Z16" s="612"/>
      <c r="AA16" s="627"/>
      <c r="AB16" s="612"/>
      <c r="AC16" s="627"/>
      <c r="AD16" s="612"/>
      <c r="AE16" s="627"/>
      <c r="AF16" s="612"/>
      <c r="AG16" s="627"/>
      <c r="AH16" s="612"/>
      <c r="AI16" s="627"/>
      <c r="AJ16" s="612"/>
      <c r="AK16" s="627"/>
      <c r="AL16" s="612"/>
      <c r="AM16" s="627"/>
      <c r="AN16" s="612"/>
      <c r="AO16" s="627"/>
      <c r="AP16" s="612"/>
      <c r="AQ16" s="627"/>
      <c r="AR16" s="612"/>
      <c r="AS16" s="627"/>
      <c r="AT16" s="612"/>
      <c r="AU16" s="627"/>
      <c r="AV16" s="612"/>
      <c r="AW16" s="627"/>
      <c r="AY16" s="224"/>
      <c r="AZ16" s="84">
        <v>8</v>
      </c>
      <c r="BA16" s="395" t="s">
        <v>199</v>
      </c>
      <c r="BB16" s="84" t="s">
        <v>93</v>
      </c>
      <c r="BC16" s="82" t="s">
        <v>97</v>
      </c>
      <c r="BD16" s="646"/>
      <c r="BE16" s="82" t="str">
        <f t="shared" si="2"/>
        <v>N/A</v>
      </c>
      <c r="BF16" s="646"/>
      <c r="BG16" s="82" t="str">
        <f t="shared" si="17"/>
        <v>N/A</v>
      </c>
      <c r="BH16" s="82"/>
      <c r="BI16" s="82" t="str">
        <f t="shared" si="18"/>
        <v>N/A</v>
      </c>
      <c r="BJ16" s="82"/>
      <c r="BK16" s="82" t="str">
        <f t="shared" si="19"/>
        <v>N/A</v>
      </c>
      <c r="BL16" s="82"/>
      <c r="BM16" s="82" t="str">
        <f t="shared" si="20"/>
        <v>N/A</v>
      </c>
      <c r="BN16" s="82"/>
      <c r="BO16" s="82" t="str">
        <f t="shared" si="3"/>
        <v>N/A</v>
      </c>
      <c r="BP16" s="82"/>
      <c r="BQ16" s="82" t="str">
        <f t="shared" si="4"/>
        <v>N/A</v>
      </c>
      <c r="BR16" s="82"/>
      <c r="BS16" s="82" t="str">
        <f t="shared" si="5"/>
        <v>N/A</v>
      </c>
      <c r="BT16" s="82"/>
      <c r="BU16" s="82" t="str">
        <f t="shared" si="6"/>
        <v>N/A</v>
      </c>
      <c r="BV16" s="82"/>
      <c r="BW16" s="82" t="str">
        <f t="shared" si="7"/>
        <v>N/A</v>
      </c>
      <c r="BX16" s="82"/>
      <c r="BY16" s="82" t="str">
        <f t="shared" si="8"/>
        <v>N/A</v>
      </c>
      <c r="BZ16" s="82"/>
      <c r="CA16" s="82" t="str">
        <f t="shared" si="9"/>
        <v>N/A</v>
      </c>
      <c r="CB16" s="82"/>
      <c r="CC16" s="82" t="str">
        <f t="shared" si="10"/>
        <v>N/A</v>
      </c>
      <c r="CD16" s="82"/>
      <c r="CE16" s="82" t="str">
        <f t="shared" si="11"/>
        <v>N/A</v>
      </c>
      <c r="CF16" s="82"/>
      <c r="CG16" s="82" t="str">
        <f t="shared" si="12"/>
        <v>N/A</v>
      </c>
      <c r="CH16" s="82"/>
      <c r="CI16" s="82" t="str">
        <f t="shared" si="13"/>
        <v>N/A</v>
      </c>
      <c r="CJ16" s="82"/>
      <c r="CK16" s="82" t="str">
        <f t="shared" si="14"/>
        <v>N/A</v>
      </c>
      <c r="CL16" s="82"/>
      <c r="CM16" s="82" t="str">
        <f t="shared" si="0"/>
        <v>N/A</v>
      </c>
      <c r="CN16" s="82"/>
      <c r="CO16" s="82" t="str">
        <f t="shared" si="15"/>
        <v>N/A</v>
      </c>
      <c r="CP16" s="82"/>
      <c r="CQ16" s="82" t="str">
        <f t="shared" si="16"/>
        <v>N/A</v>
      </c>
      <c r="CR16" s="82"/>
      <c r="CS16" s="82" t="str">
        <f t="shared" si="1"/>
        <v>N/A</v>
      </c>
    </row>
    <row r="17" spans="1:97" s="390" customFormat="1" ht="15" customHeight="1">
      <c r="A17" s="221"/>
      <c r="B17" s="377">
        <v>260</v>
      </c>
      <c r="C17" s="265">
        <v>9</v>
      </c>
      <c r="D17" s="392" t="s">
        <v>379</v>
      </c>
      <c r="E17" s="265" t="s">
        <v>360</v>
      </c>
      <c r="F17" s="612"/>
      <c r="G17" s="627"/>
      <c r="H17" s="612"/>
      <c r="I17" s="627"/>
      <c r="J17" s="612"/>
      <c r="K17" s="627"/>
      <c r="L17" s="612"/>
      <c r="M17" s="627"/>
      <c r="N17" s="612"/>
      <c r="O17" s="627"/>
      <c r="P17" s="612"/>
      <c r="Q17" s="627"/>
      <c r="R17" s="612"/>
      <c r="S17" s="627"/>
      <c r="T17" s="612"/>
      <c r="U17" s="627"/>
      <c r="V17" s="612"/>
      <c r="W17" s="627"/>
      <c r="X17" s="612"/>
      <c r="Y17" s="627"/>
      <c r="Z17" s="612"/>
      <c r="AA17" s="627"/>
      <c r="AB17" s="612"/>
      <c r="AC17" s="627"/>
      <c r="AD17" s="612"/>
      <c r="AE17" s="627"/>
      <c r="AF17" s="612"/>
      <c r="AG17" s="627"/>
      <c r="AH17" s="612"/>
      <c r="AI17" s="627"/>
      <c r="AJ17" s="612"/>
      <c r="AK17" s="627"/>
      <c r="AL17" s="612"/>
      <c r="AM17" s="627"/>
      <c r="AN17" s="612"/>
      <c r="AO17" s="627"/>
      <c r="AP17" s="612"/>
      <c r="AQ17" s="627"/>
      <c r="AR17" s="612"/>
      <c r="AS17" s="627"/>
      <c r="AT17" s="612"/>
      <c r="AU17" s="627"/>
      <c r="AV17" s="612"/>
      <c r="AW17" s="627"/>
      <c r="AY17" s="224"/>
      <c r="AZ17" s="84">
        <v>9</v>
      </c>
      <c r="BA17" s="393" t="s">
        <v>379</v>
      </c>
      <c r="BB17" s="84" t="s">
        <v>93</v>
      </c>
      <c r="BC17" s="110" t="s">
        <v>97</v>
      </c>
      <c r="BD17" s="646"/>
      <c r="BE17" s="82" t="str">
        <f t="shared" si="2"/>
        <v>N/A</v>
      </c>
      <c r="BF17" s="646"/>
      <c r="BG17" s="82" t="str">
        <f t="shared" si="17"/>
        <v>N/A</v>
      </c>
      <c r="BH17" s="82"/>
      <c r="BI17" s="82" t="str">
        <f t="shared" si="18"/>
        <v>N/A</v>
      </c>
      <c r="BJ17" s="82"/>
      <c r="BK17" s="82" t="str">
        <f t="shared" si="19"/>
        <v>N/A</v>
      </c>
      <c r="BL17" s="82"/>
      <c r="BM17" s="82" t="str">
        <f t="shared" si="20"/>
        <v>N/A</v>
      </c>
      <c r="BN17" s="82"/>
      <c r="BO17" s="82" t="str">
        <f t="shared" si="3"/>
        <v>N/A</v>
      </c>
      <c r="BP17" s="82"/>
      <c r="BQ17" s="82" t="str">
        <f t="shared" si="4"/>
        <v>N/A</v>
      </c>
      <c r="BR17" s="82"/>
      <c r="BS17" s="82" t="str">
        <f t="shared" si="5"/>
        <v>N/A</v>
      </c>
      <c r="BT17" s="82"/>
      <c r="BU17" s="82" t="str">
        <f t="shared" si="6"/>
        <v>N/A</v>
      </c>
      <c r="BV17" s="82"/>
      <c r="BW17" s="82" t="str">
        <f t="shared" si="7"/>
        <v>N/A</v>
      </c>
      <c r="BX17" s="82"/>
      <c r="BY17" s="82" t="str">
        <f t="shared" si="8"/>
        <v>N/A</v>
      </c>
      <c r="BZ17" s="82"/>
      <c r="CA17" s="82" t="str">
        <f t="shared" si="9"/>
        <v>N/A</v>
      </c>
      <c r="CB17" s="82"/>
      <c r="CC17" s="82" t="str">
        <f t="shared" si="10"/>
        <v>N/A</v>
      </c>
      <c r="CD17" s="82"/>
      <c r="CE17" s="82" t="str">
        <f t="shared" si="11"/>
        <v>N/A</v>
      </c>
      <c r="CF17" s="82"/>
      <c r="CG17" s="82" t="str">
        <f t="shared" si="12"/>
        <v>N/A</v>
      </c>
      <c r="CH17" s="82"/>
      <c r="CI17" s="82" t="str">
        <f t="shared" si="13"/>
        <v>N/A</v>
      </c>
      <c r="CJ17" s="82"/>
      <c r="CK17" s="82" t="str">
        <f t="shared" si="14"/>
        <v>N/A</v>
      </c>
      <c r="CL17" s="82"/>
      <c r="CM17" s="82" t="str">
        <f t="shared" si="0"/>
        <v>N/A</v>
      </c>
      <c r="CN17" s="82"/>
      <c r="CO17" s="82" t="str">
        <f t="shared" si="15"/>
        <v>N/A</v>
      </c>
      <c r="CP17" s="82"/>
      <c r="CQ17" s="82" t="str">
        <f t="shared" si="16"/>
        <v>N/A</v>
      </c>
      <c r="CR17" s="82"/>
      <c r="CS17" s="82" t="str">
        <f t="shared" si="1"/>
        <v>N/A</v>
      </c>
    </row>
    <row r="18" spans="1:97" s="390" customFormat="1" ht="15" customHeight="1">
      <c r="A18" s="221"/>
      <c r="B18" s="377">
        <v>69</v>
      </c>
      <c r="C18" s="265">
        <v>10</v>
      </c>
      <c r="D18" s="378" t="s">
        <v>346</v>
      </c>
      <c r="E18" s="265" t="s">
        <v>360</v>
      </c>
      <c r="F18" s="612"/>
      <c r="G18" s="627"/>
      <c r="H18" s="612"/>
      <c r="I18" s="627"/>
      <c r="J18" s="612"/>
      <c r="K18" s="627"/>
      <c r="L18" s="612"/>
      <c r="M18" s="627"/>
      <c r="N18" s="612"/>
      <c r="O18" s="627"/>
      <c r="P18" s="612"/>
      <c r="Q18" s="627"/>
      <c r="R18" s="612"/>
      <c r="S18" s="627"/>
      <c r="T18" s="612"/>
      <c r="U18" s="627"/>
      <c r="V18" s="612"/>
      <c r="W18" s="627"/>
      <c r="X18" s="612"/>
      <c r="Y18" s="627"/>
      <c r="Z18" s="612"/>
      <c r="AA18" s="627"/>
      <c r="AB18" s="612"/>
      <c r="AC18" s="627"/>
      <c r="AD18" s="612"/>
      <c r="AE18" s="627"/>
      <c r="AF18" s="612"/>
      <c r="AG18" s="627"/>
      <c r="AH18" s="612"/>
      <c r="AI18" s="627"/>
      <c r="AJ18" s="612"/>
      <c r="AK18" s="627"/>
      <c r="AL18" s="612"/>
      <c r="AM18" s="627"/>
      <c r="AN18" s="612"/>
      <c r="AO18" s="627"/>
      <c r="AP18" s="612"/>
      <c r="AQ18" s="627"/>
      <c r="AR18" s="612"/>
      <c r="AS18" s="627"/>
      <c r="AT18" s="612"/>
      <c r="AU18" s="627"/>
      <c r="AV18" s="612"/>
      <c r="AW18" s="627"/>
      <c r="AY18" s="224"/>
      <c r="AZ18" s="84">
        <v>10</v>
      </c>
      <c r="BA18" s="303" t="s">
        <v>346</v>
      </c>
      <c r="BB18" s="84" t="s">
        <v>93</v>
      </c>
      <c r="BC18" s="82" t="s">
        <v>97</v>
      </c>
      <c r="BD18" s="646"/>
      <c r="BE18" s="82" t="str">
        <f t="shared" si="2"/>
        <v>N/A</v>
      </c>
      <c r="BF18" s="646"/>
      <c r="BG18" s="82" t="str">
        <f t="shared" si="17"/>
        <v>N/A</v>
      </c>
      <c r="BH18" s="82"/>
      <c r="BI18" s="82" t="str">
        <f t="shared" si="18"/>
        <v>N/A</v>
      </c>
      <c r="BJ18" s="82"/>
      <c r="BK18" s="82" t="str">
        <f>IF(OR(ISBLANK(L18),ISBLANK(N18)),"N/A",IF(ABS((N18-L18)/L18)&gt;0.25,"&gt; 25%","ok"))</f>
        <v>N/A</v>
      </c>
      <c r="BL18" s="82"/>
      <c r="BM18" s="82" t="str">
        <f t="shared" si="20"/>
        <v>N/A</v>
      </c>
      <c r="BN18" s="82"/>
      <c r="BO18" s="82" t="str">
        <f t="shared" si="3"/>
        <v>N/A</v>
      </c>
      <c r="BP18" s="82"/>
      <c r="BQ18" s="82" t="str">
        <f t="shared" si="4"/>
        <v>N/A</v>
      </c>
      <c r="BR18" s="82"/>
      <c r="BS18" s="82" t="str">
        <f t="shared" si="5"/>
        <v>N/A</v>
      </c>
      <c r="BT18" s="82"/>
      <c r="BU18" s="82" t="str">
        <f t="shared" si="6"/>
        <v>N/A</v>
      </c>
      <c r="BV18" s="82"/>
      <c r="BW18" s="82" t="str">
        <f t="shared" si="7"/>
        <v>N/A</v>
      </c>
      <c r="BX18" s="82"/>
      <c r="BY18" s="82" t="str">
        <f t="shared" si="8"/>
        <v>N/A</v>
      </c>
      <c r="BZ18" s="82"/>
      <c r="CA18" s="82" t="str">
        <f t="shared" si="9"/>
        <v>N/A</v>
      </c>
      <c r="CB18" s="82"/>
      <c r="CC18" s="82" t="str">
        <f t="shared" si="10"/>
        <v>N/A</v>
      </c>
      <c r="CD18" s="82"/>
      <c r="CE18" s="82" t="str">
        <f t="shared" si="11"/>
        <v>N/A</v>
      </c>
      <c r="CF18" s="82"/>
      <c r="CG18" s="82" t="str">
        <f t="shared" si="12"/>
        <v>N/A</v>
      </c>
      <c r="CH18" s="82"/>
      <c r="CI18" s="82" t="str">
        <f t="shared" si="13"/>
        <v>N/A</v>
      </c>
      <c r="CJ18" s="82"/>
      <c r="CK18" s="82" t="str">
        <f t="shared" si="14"/>
        <v>N/A</v>
      </c>
      <c r="CL18" s="82"/>
      <c r="CM18" s="82" t="str">
        <f t="shared" si="0"/>
        <v>N/A</v>
      </c>
      <c r="CN18" s="82"/>
      <c r="CO18" s="82" t="str">
        <f t="shared" si="15"/>
        <v>N/A</v>
      </c>
      <c r="CP18" s="82"/>
      <c r="CQ18" s="82" t="str">
        <f t="shared" si="16"/>
        <v>N/A</v>
      </c>
      <c r="CR18" s="82"/>
      <c r="CS18" s="82" t="str">
        <f t="shared" si="1"/>
        <v>N/A</v>
      </c>
    </row>
    <row r="19" spans="1:97" s="390" customFormat="1" ht="15" customHeight="1">
      <c r="A19" s="221"/>
      <c r="B19" s="377">
        <v>78</v>
      </c>
      <c r="C19" s="265">
        <v>11</v>
      </c>
      <c r="D19" s="378" t="s">
        <v>581</v>
      </c>
      <c r="E19" s="265" t="s">
        <v>360</v>
      </c>
      <c r="F19" s="612"/>
      <c r="G19" s="627"/>
      <c r="H19" s="612"/>
      <c r="I19" s="627"/>
      <c r="J19" s="612"/>
      <c r="K19" s="627"/>
      <c r="L19" s="612"/>
      <c r="M19" s="627"/>
      <c r="N19" s="612"/>
      <c r="O19" s="627"/>
      <c r="P19" s="612"/>
      <c r="Q19" s="627"/>
      <c r="R19" s="612"/>
      <c r="S19" s="627"/>
      <c r="T19" s="612"/>
      <c r="U19" s="627"/>
      <c r="V19" s="612"/>
      <c r="W19" s="627"/>
      <c r="X19" s="612"/>
      <c r="Y19" s="627"/>
      <c r="Z19" s="612"/>
      <c r="AA19" s="627"/>
      <c r="AB19" s="612"/>
      <c r="AC19" s="627"/>
      <c r="AD19" s="612"/>
      <c r="AE19" s="627"/>
      <c r="AF19" s="612"/>
      <c r="AG19" s="627"/>
      <c r="AH19" s="612"/>
      <c r="AI19" s="627"/>
      <c r="AJ19" s="612"/>
      <c r="AK19" s="627"/>
      <c r="AL19" s="612"/>
      <c r="AM19" s="627"/>
      <c r="AN19" s="612"/>
      <c r="AO19" s="627"/>
      <c r="AP19" s="612"/>
      <c r="AQ19" s="627"/>
      <c r="AR19" s="612"/>
      <c r="AS19" s="627"/>
      <c r="AT19" s="612"/>
      <c r="AU19" s="627"/>
      <c r="AV19" s="612"/>
      <c r="AW19" s="627"/>
      <c r="AY19" s="224"/>
      <c r="AZ19" s="84">
        <v>11</v>
      </c>
      <c r="BA19" s="303" t="s">
        <v>581</v>
      </c>
      <c r="BB19" s="84" t="s">
        <v>93</v>
      </c>
      <c r="BC19" s="82" t="s">
        <v>97</v>
      </c>
      <c r="BD19" s="646"/>
      <c r="BE19" s="82" t="str">
        <f t="shared" si="2"/>
        <v>N/A</v>
      </c>
      <c r="BF19" s="646"/>
      <c r="BG19" s="82" t="str">
        <f t="shared" si="17"/>
        <v>N/A</v>
      </c>
      <c r="BH19" s="82"/>
      <c r="BI19" s="82" t="str">
        <f t="shared" si="18"/>
        <v>N/A</v>
      </c>
      <c r="BJ19" s="82"/>
      <c r="BK19" s="82" t="str">
        <f t="shared" si="19"/>
        <v>N/A</v>
      </c>
      <c r="BL19" s="82"/>
      <c r="BM19" s="82" t="str">
        <f t="shared" si="20"/>
        <v>N/A</v>
      </c>
      <c r="BN19" s="82"/>
      <c r="BO19" s="82" t="str">
        <f t="shared" si="3"/>
        <v>N/A</v>
      </c>
      <c r="BP19" s="82"/>
      <c r="BQ19" s="82" t="str">
        <f t="shared" si="4"/>
        <v>N/A</v>
      </c>
      <c r="BR19" s="82"/>
      <c r="BS19" s="82" t="str">
        <f t="shared" si="5"/>
        <v>N/A</v>
      </c>
      <c r="BT19" s="82"/>
      <c r="BU19" s="82" t="str">
        <f t="shared" si="6"/>
        <v>N/A</v>
      </c>
      <c r="BV19" s="82"/>
      <c r="BW19" s="82" t="str">
        <f t="shared" si="7"/>
        <v>N/A</v>
      </c>
      <c r="BX19" s="82"/>
      <c r="BY19" s="82" t="str">
        <f t="shared" si="8"/>
        <v>N/A</v>
      </c>
      <c r="BZ19" s="82"/>
      <c r="CA19" s="82" t="str">
        <f t="shared" si="9"/>
        <v>N/A</v>
      </c>
      <c r="CB19" s="82"/>
      <c r="CC19" s="82" t="str">
        <f t="shared" si="10"/>
        <v>N/A</v>
      </c>
      <c r="CD19" s="82"/>
      <c r="CE19" s="82" t="str">
        <f t="shared" si="11"/>
        <v>N/A</v>
      </c>
      <c r="CF19" s="82"/>
      <c r="CG19" s="82" t="str">
        <f t="shared" si="12"/>
        <v>N/A</v>
      </c>
      <c r="CH19" s="82"/>
      <c r="CI19" s="82" t="str">
        <f t="shared" si="13"/>
        <v>N/A</v>
      </c>
      <c r="CJ19" s="82"/>
      <c r="CK19" s="82" t="str">
        <f t="shared" si="14"/>
        <v>N/A</v>
      </c>
      <c r="CL19" s="82"/>
      <c r="CM19" s="82" t="str">
        <f t="shared" si="0"/>
        <v>N/A</v>
      </c>
      <c r="CN19" s="82"/>
      <c r="CO19" s="82" t="str">
        <f t="shared" si="15"/>
        <v>N/A</v>
      </c>
      <c r="CP19" s="82"/>
      <c r="CQ19" s="82" t="str">
        <f t="shared" si="16"/>
        <v>N/A</v>
      </c>
      <c r="CR19" s="82"/>
      <c r="CS19" s="82" t="str">
        <f t="shared" si="1"/>
        <v>N/A</v>
      </c>
    </row>
    <row r="20" spans="1:97" s="390" customFormat="1" ht="15" customHeight="1">
      <c r="A20" s="221"/>
      <c r="B20" s="377">
        <v>2434</v>
      </c>
      <c r="C20" s="265">
        <v>12</v>
      </c>
      <c r="D20" s="378" t="s">
        <v>575</v>
      </c>
      <c r="E20" s="265" t="s">
        <v>360</v>
      </c>
      <c r="F20" s="612"/>
      <c r="G20" s="627"/>
      <c r="H20" s="612"/>
      <c r="I20" s="627"/>
      <c r="J20" s="612"/>
      <c r="K20" s="627"/>
      <c r="L20" s="612"/>
      <c r="M20" s="627"/>
      <c r="N20" s="612"/>
      <c r="O20" s="627"/>
      <c r="P20" s="612"/>
      <c r="Q20" s="627"/>
      <c r="R20" s="612"/>
      <c r="S20" s="627"/>
      <c r="T20" s="612"/>
      <c r="U20" s="627"/>
      <c r="V20" s="612"/>
      <c r="W20" s="627"/>
      <c r="X20" s="612"/>
      <c r="Y20" s="627"/>
      <c r="Z20" s="612"/>
      <c r="AA20" s="627"/>
      <c r="AB20" s="612"/>
      <c r="AC20" s="627"/>
      <c r="AD20" s="612"/>
      <c r="AE20" s="627"/>
      <c r="AF20" s="612"/>
      <c r="AG20" s="627"/>
      <c r="AH20" s="612"/>
      <c r="AI20" s="627"/>
      <c r="AJ20" s="612"/>
      <c r="AK20" s="627"/>
      <c r="AL20" s="612"/>
      <c r="AM20" s="627"/>
      <c r="AN20" s="612"/>
      <c r="AO20" s="627"/>
      <c r="AP20" s="612"/>
      <c r="AQ20" s="627"/>
      <c r="AR20" s="612"/>
      <c r="AS20" s="627"/>
      <c r="AT20" s="612"/>
      <c r="AU20" s="627"/>
      <c r="AV20" s="612"/>
      <c r="AW20" s="627"/>
      <c r="AY20" s="224"/>
      <c r="AZ20" s="84">
        <v>12</v>
      </c>
      <c r="BA20" s="303" t="s">
        <v>575</v>
      </c>
      <c r="BB20" s="84" t="s">
        <v>93</v>
      </c>
      <c r="BC20" s="82" t="s">
        <v>97</v>
      </c>
      <c r="BD20" s="646"/>
      <c r="BE20" s="82" t="str">
        <f t="shared" si="2"/>
        <v>N/A</v>
      </c>
      <c r="BF20" s="646"/>
      <c r="BG20" s="82" t="str">
        <f t="shared" si="17"/>
        <v>N/A</v>
      </c>
      <c r="BH20" s="82"/>
      <c r="BI20" s="82" t="str">
        <f>IF(OR(ISBLANK(J20),ISBLANK(L20)),"N/A",IF(ABS((L20-J20)/J20)&gt;0.25,"&gt; 25%","ok"))</f>
        <v>N/A</v>
      </c>
      <c r="BJ20" s="82"/>
      <c r="BK20" s="82" t="str">
        <f t="shared" si="19"/>
        <v>N/A</v>
      </c>
      <c r="BL20" s="82"/>
      <c r="BM20" s="82" t="str">
        <f t="shared" si="20"/>
        <v>N/A</v>
      </c>
      <c r="BN20" s="82"/>
      <c r="BO20" s="82" t="str">
        <f t="shared" si="3"/>
        <v>N/A</v>
      </c>
      <c r="BP20" s="82"/>
      <c r="BQ20" s="82" t="str">
        <f t="shared" si="4"/>
        <v>N/A</v>
      </c>
      <c r="BR20" s="82"/>
      <c r="BS20" s="82" t="str">
        <f t="shared" si="5"/>
        <v>N/A</v>
      </c>
      <c r="BT20" s="82"/>
      <c r="BU20" s="82" t="str">
        <f t="shared" si="6"/>
        <v>N/A</v>
      </c>
      <c r="BV20" s="82"/>
      <c r="BW20" s="82" t="str">
        <f t="shared" si="7"/>
        <v>N/A</v>
      </c>
      <c r="BX20" s="82"/>
      <c r="BY20" s="82" t="str">
        <f t="shared" si="8"/>
        <v>N/A</v>
      </c>
      <c r="BZ20" s="82"/>
      <c r="CA20" s="82" t="str">
        <f t="shared" si="9"/>
        <v>N/A</v>
      </c>
      <c r="CB20" s="82"/>
      <c r="CC20" s="82" t="str">
        <f t="shared" si="10"/>
        <v>N/A</v>
      </c>
      <c r="CD20" s="82"/>
      <c r="CE20" s="82" t="str">
        <f t="shared" si="11"/>
        <v>N/A</v>
      </c>
      <c r="CF20" s="82"/>
      <c r="CG20" s="82" t="str">
        <f t="shared" si="12"/>
        <v>N/A</v>
      </c>
      <c r="CH20" s="82"/>
      <c r="CI20" s="82" t="str">
        <f t="shared" si="13"/>
        <v>N/A</v>
      </c>
      <c r="CJ20" s="82"/>
      <c r="CK20" s="82" t="str">
        <f t="shared" si="14"/>
        <v>N/A</v>
      </c>
      <c r="CL20" s="82"/>
      <c r="CM20" s="82" t="str">
        <f t="shared" si="0"/>
        <v>N/A</v>
      </c>
      <c r="CN20" s="82"/>
      <c r="CO20" s="82" t="str">
        <f t="shared" si="15"/>
        <v>N/A</v>
      </c>
      <c r="CP20" s="82"/>
      <c r="CQ20" s="82" t="str">
        <f t="shared" si="16"/>
        <v>N/A</v>
      </c>
      <c r="CR20" s="82"/>
      <c r="CS20" s="82" t="str">
        <f t="shared" si="1"/>
        <v>N/A</v>
      </c>
    </row>
    <row r="21" spans="1:97" s="390" customFormat="1" ht="15" customHeight="1">
      <c r="A21" s="221"/>
      <c r="B21" s="377">
        <v>2435</v>
      </c>
      <c r="C21" s="265">
        <v>13</v>
      </c>
      <c r="D21" s="378" t="s">
        <v>102</v>
      </c>
      <c r="E21" s="265" t="s">
        <v>360</v>
      </c>
      <c r="F21" s="612"/>
      <c r="G21" s="627"/>
      <c r="H21" s="612"/>
      <c r="I21" s="627"/>
      <c r="J21" s="612"/>
      <c r="K21" s="627"/>
      <c r="L21" s="612"/>
      <c r="M21" s="627"/>
      <c r="N21" s="612"/>
      <c r="O21" s="627"/>
      <c r="P21" s="612"/>
      <c r="Q21" s="627"/>
      <c r="R21" s="612"/>
      <c r="S21" s="627"/>
      <c r="T21" s="612"/>
      <c r="U21" s="627"/>
      <c r="V21" s="612"/>
      <c r="W21" s="627"/>
      <c r="X21" s="612"/>
      <c r="Y21" s="627"/>
      <c r="Z21" s="612"/>
      <c r="AA21" s="627"/>
      <c r="AB21" s="612"/>
      <c r="AC21" s="627"/>
      <c r="AD21" s="612"/>
      <c r="AE21" s="627"/>
      <c r="AF21" s="612"/>
      <c r="AG21" s="627"/>
      <c r="AH21" s="612"/>
      <c r="AI21" s="627"/>
      <c r="AJ21" s="612"/>
      <c r="AK21" s="627"/>
      <c r="AL21" s="612"/>
      <c r="AM21" s="627"/>
      <c r="AN21" s="612"/>
      <c r="AO21" s="627"/>
      <c r="AP21" s="612"/>
      <c r="AQ21" s="627"/>
      <c r="AR21" s="612"/>
      <c r="AS21" s="627"/>
      <c r="AT21" s="612"/>
      <c r="AU21" s="627"/>
      <c r="AV21" s="612"/>
      <c r="AW21" s="627"/>
      <c r="AY21" s="224"/>
      <c r="AZ21" s="84">
        <v>13</v>
      </c>
      <c r="BA21" s="303" t="s">
        <v>102</v>
      </c>
      <c r="BB21" s="84" t="s">
        <v>93</v>
      </c>
      <c r="BC21" s="82" t="s">
        <v>97</v>
      </c>
      <c r="BD21" s="646"/>
      <c r="BE21" s="82" t="str">
        <f t="shared" si="2"/>
        <v>N/A</v>
      </c>
      <c r="BF21" s="646"/>
      <c r="BG21" s="82" t="str">
        <f t="shared" si="17"/>
        <v>N/A</v>
      </c>
      <c r="BH21" s="82"/>
      <c r="BI21" s="82" t="str">
        <f t="shared" si="18"/>
        <v>N/A</v>
      </c>
      <c r="BJ21" s="82"/>
      <c r="BK21" s="82" t="str">
        <f t="shared" si="19"/>
        <v>N/A</v>
      </c>
      <c r="BL21" s="82"/>
      <c r="BM21" s="82" t="str">
        <f t="shared" si="20"/>
        <v>N/A</v>
      </c>
      <c r="BN21" s="82"/>
      <c r="BO21" s="82" t="str">
        <f t="shared" si="3"/>
        <v>N/A</v>
      </c>
      <c r="BP21" s="82"/>
      <c r="BQ21" s="82" t="str">
        <f t="shared" si="4"/>
        <v>N/A</v>
      </c>
      <c r="BR21" s="82"/>
      <c r="BS21" s="82" t="str">
        <f t="shared" si="5"/>
        <v>N/A</v>
      </c>
      <c r="BT21" s="82"/>
      <c r="BU21" s="82" t="str">
        <f t="shared" si="6"/>
        <v>N/A</v>
      </c>
      <c r="BV21" s="82"/>
      <c r="BW21" s="82" t="str">
        <f t="shared" si="7"/>
        <v>N/A</v>
      </c>
      <c r="BX21" s="82"/>
      <c r="BY21" s="82" t="str">
        <f t="shared" si="8"/>
        <v>N/A</v>
      </c>
      <c r="BZ21" s="82"/>
      <c r="CA21" s="82" t="str">
        <f t="shared" si="9"/>
        <v>N/A</v>
      </c>
      <c r="CB21" s="82"/>
      <c r="CC21" s="82" t="str">
        <f t="shared" si="10"/>
        <v>N/A</v>
      </c>
      <c r="CD21" s="82"/>
      <c r="CE21" s="82" t="str">
        <f t="shared" si="11"/>
        <v>N/A</v>
      </c>
      <c r="CF21" s="82"/>
      <c r="CG21" s="82" t="str">
        <f t="shared" si="12"/>
        <v>N/A</v>
      </c>
      <c r="CH21" s="82"/>
      <c r="CI21" s="82" t="str">
        <f t="shared" si="13"/>
        <v>N/A</v>
      </c>
      <c r="CJ21" s="82"/>
      <c r="CK21" s="82" t="str">
        <f t="shared" si="14"/>
        <v>N/A</v>
      </c>
      <c r="CL21" s="82"/>
      <c r="CM21" s="82" t="str">
        <f t="shared" si="0"/>
        <v>N/A</v>
      </c>
      <c r="CN21" s="82"/>
      <c r="CO21" s="82" t="str">
        <f t="shared" si="15"/>
        <v>N/A</v>
      </c>
      <c r="CP21" s="82"/>
      <c r="CQ21" s="82" t="str">
        <f t="shared" si="16"/>
        <v>N/A</v>
      </c>
      <c r="CR21" s="82"/>
      <c r="CS21" s="82" t="str">
        <f t="shared" si="1"/>
        <v>N/A</v>
      </c>
    </row>
    <row r="22" spans="1:97" s="397" customFormat="1" ht="27" customHeight="1">
      <c r="A22" s="396" t="s">
        <v>76</v>
      </c>
      <c r="B22" s="383">
        <v>79</v>
      </c>
      <c r="C22" s="384">
        <v>14</v>
      </c>
      <c r="D22" s="385" t="s">
        <v>508</v>
      </c>
      <c r="E22" s="265" t="s">
        <v>360</v>
      </c>
      <c r="F22" s="612"/>
      <c r="G22" s="627"/>
      <c r="H22" s="612"/>
      <c r="I22" s="627"/>
      <c r="J22" s="612"/>
      <c r="K22" s="627"/>
      <c r="L22" s="612"/>
      <c r="M22" s="627"/>
      <c r="N22" s="612"/>
      <c r="O22" s="627"/>
      <c r="P22" s="612"/>
      <c r="Q22" s="627"/>
      <c r="R22" s="612"/>
      <c r="S22" s="627"/>
      <c r="T22" s="612"/>
      <c r="U22" s="627"/>
      <c r="V22" s="612"/>
      <c r="W22" s="627"/>
      <c r="X22" s="612"/>
      <c r="Y22" s="627"/>
      <c r="Z22" s="612"/>
      <c r="AA22" s="627"/>
      <c r="AB22" s="612"/>
      <c r="AC22" s="627"/>
      <c r="AD22" s="612"/>
      <c r="AE22" s="627"/>
      <c r="AF22" s="612"/>
      <c r="AG22" s="627"/>
      <c r="AH22" s="612"/>
      <c r="AI22" s="627"/>
      <c r="AJ22" s="612"/>
      <c r="AK22" s="627"/>
      <c r="AL22" s="612"/>
      <c r="AM22" s="627"/>
      <c r="AN22" s="612"/>
      <c r="AO22" s="627"/>
      <c r="AP22" s="612"/>
      <c r="AQ22" s="627"/>
      <c r="AR22" s="612"/>
      <c r="AS22" s="627"/>
      <c r="AT22" s="612"/>
      <c r="AU22" s="627"/>
      <c r="AV22" s="612"/>
      <c r="AW22" s="627"/>
      <c r="AY22" s="398"/>
      <c r="AZ22" s="388">
        <v>14</v>
      </c>
      <c r="BA22" s="389" t="s">
        <v>508</v>
      </c>
      <c r="BB22" s="84" t="s">
        <v>93</v>
      </c>
      <c r="BC22" s="82" t="s">
        <v>97</v>
      </c>
      <c r="BD22" s="655"/>
      <c r="BE22" s="82" t="str">
        <f t="shared" si="2"/>
        <v>N/A</v>
      </c>
      <c r="BF22" s="655"/>
      <c r="BG22" s="82" t="str">
        <f t="shared" si="17"/>
        <v>N/A</v>
      </c>
      <c r="BH22" s="110"/>
      <c r="BI22" s="82" t="str">
        <f t="shared" si="18"/>
        <v>N/A</v>
      </c>
      <c r="BJ22" s="110"/>
      <c r="BK22" s="82" t="str">
        <f t="shared" si="19"/>
        <v>N/A</v>
      </c>
      <c r="BL22" s="110"/>
      <c r="BM22" s="82" t="str">
        <f t="shared" si="20"/>
        <v>N/A</v>
      </c>
      <c r="BN22" s="110"/>
      <c r="BO22" s="82" t="str">
        <f t="shared" si="3"/>
        <v>N/A</v>
      </c>
      <c r="BP22" s="110"/>
      <c r="BQ22" s="82" t="str">
        <f t="shared" si="4"/>
        <v>N/A</v>
      </c>
      <c r="BR22" s="110"/>
      <c r="BS22" s="82" t="str">
        <f t="shared" si="5"/>
        <v>N/A</v>
      </c>
      <c r="BT22" s="110"/>
      <c r="BU22" s="82" t="str">
        <f t="shared" si="6"/>
        <v>N/A</v>
      </c>
      <c r="BV22" s="110"/>
      <c r="BW22" s="82" t="str">
        <f t="shared" si="7"/>
        <v>N/A</v>
      </c>
      <c r="BX22" s="110"/>
      <c r="BY22" s="82" t="str">
        <f t="shared" si="8"/>
        <v>N/A</v>
      </c>
      <c r="BZ22" s="110"/>
      <c r="CA22" s="82" t="str">
        <f t="shared" si="9"/>
        <v>N/A</v>
      </c>
      <c r="CB22" s="110"/>
      <c r="CC22" s="82" t="str">
        <f t="shared" si="10"/>
        <v>N/A</v>
      </c>
      <c r="CD22" s="110"/>
      <c r="CE22" s="82" t="str">
        <f t="shared" si="11"/>
        <v>N/A</v>
      </c>
      <c r="CF22" s="110"/>
      <c r="CG22" s="82" t="str">
        <f t="shared" si="12"/>
        <v>N/A</v>
      </c>
      <c r="CH22" s="110"/>
      <c r="CI22" s="82" t="str">
        <f t="shared" si="13"/>
        <v>N/A</v>
      </c>
      <c r="CJ22" s="110"/>
      <c r="CK22" s="82" t="str">
        <f t="shared" si="14"/>
        <v>N/A</v>
      </c>
      <c r="CL22" s="110"/>
      <c r="CM22" s="82" t="str">
        <f t="shared" si="0"/>
        <v>N/A</v>
      </c>
      <c r="CN22" s="110"/>
      <c r="CO22" s="82" t="str">
        <f t="shared" si="15"/>
        <v>N/A</v>
      </c>
      <c r="CP22" s="110"/>
      <c r="CQ22" s="82" t="str">
        <f t="shared" si="16"/>
        <v>N/A</v>
      </c>
      <c r="CR22" s="110"/>
      <c r="CS22" s="82" t="str">
        <f t="shared" si="1"/>
        <v>N/A</v>
      </c>
    </row>
    <row r="23" spans="1:97" s="397" customFormat="1" ht="15" customHeight="1">
      <c r="A23" s="399"/>
      <c r="B23" s="383">
        <v>34</v>
      </c>
      <c r="C23" s="384">
        <v>15</v>
      </c>
      <c r="D23" s="385" t="s">
        <v>15</v>
      </c>
      <c r="E23" s="265" t="s">
        <v>360</v>
      </c>
      <c r="F23" s="612"/>
      <c r="G23" s="627"/>
      <c r="H23" s="612"/>
      <c r="I23" s="627"/>
      <c r="J23" s="612"/>
      <c r="K23" s="627"/>
      <c r="L23" s="612"/>
      <c r="M23" s="627"/>
      <c r="N23" s="612"/>
      <c r="O23" s="627"/>
      <c r="P23" s="612"/>
      <c r="Q23" s="627"/>
      <c r="R23" s="612"/>
      <c r="S23" s="627"/>
      <c r="T23" s="612"/>
      <c r="U23" s="627"/>
      <c r="V23" s="612"/>
      <c r="W23" s="627"/>
      <c r="X23" s="612"/>
      <c r="Y23" s="627"/>
      <c r="Z23" s="612"/>
      <c r="AA23" s="627"/>
      <c r="AB23" s="612"/>
      <c r="AC23" s="627"/>
      <c r="AD23" s="612"/>
      <c r="AE23" s="627"/>
      <c r="AF23" s="612"/>
      <c r="AG23" s="627"/>
      <c r="AH23" s="612"/>
      <c r="AI23" s="627"/>
      <c r="AJ23" s="612"/>
      <c r="AK23" s="627"/>
      <c r="AL23" s="612"/>
      <c r="AM23" s="627"/>
      <c r="AN23" s="612"/>
      <c r="AO23" s="627"/>
      <c r="AP23" s="612"/>
      <c r="AQ23" s="627"/>
      <c r="AR23" s="612"/>
      <c r="AS23" s="627"/>
      <c r="AT23" s="612"/>
      <c r="AU23" s="627"/>
      <c r="AV23" s="612"/>
      <c r="AW23" s="627"/>
      <c r="AY23" s="398"/>
      <c r="AZ23" s="388">
        <v>15</v>
      </c>
      <c r="BA23" s="389" t="s">
        <v>15</v>
      </c>
      <c r="BB23" s="84" t="s">
        <v>93</v>
      </c>
      <c r="BC23" s="82" t="s">
        <v>97</v>
      </c>
      <c r="BD23" s="655"/>
      <c r="BE23" s="82" t="str">
        <f t="shared" si="2"/>
        <v>N/A</v>
      </c>
      <c r="BF23" s="655"/>
      <c r="BG23" s="82" t="str">
        <f t="shared" si="17"/>
        <v>N/A</v>
      </c>
      <c r="BH23" s="110"/>
      <c r="BI23" s="82" t="str">
        <f t="shared" si="18"/>
        <v>N/A</v>
      </c>
      <c r="BJ23" s="110"/>
      <c r="BK23" s="82" t="str">
        <f t="shared" si="19"/>
        <v>N/A</v>
      </c>
      <c r="BL23" s="110"/>
      <c r="BM23" s="82" t="str">
        <f t="shared" si="20"/>
        <v>N/A</v>
      </c>
      <c r="BN23" s="110"/>
      <c r="BO23" s="82" t="str">
        <f t="shared" si="3"/>
        <v>N/A</v>
      </c>
      <c r="BP23" s="110"/>
      <c r="BQ23" s="82" t="str">
        <f t="shared" si="4"/>
        <v>N/A</v>
      </c>
      <c r="BR23" s="110"/>
      <c r="BS23" s="82" t="str">
        <f t="shared" si="5"/>
        <v>N/A</v>
      </c>
      <c r="BT23" s="110"/>
      <c r="BU23" s="82" t="str">
        <f t="shared" si="6"/>
        <v>N/A</v>
      </c>
      <c r="BV23" s="110"/>
      <c r="BW23" s="82" t="str">
        <f t="shared" si="7"/>
        <v>N/A</v>
      </c>
      <c r="BX23" s="110"/>
      <c r="BY23" s="82" t="str">
        <f t="shared" si="8"/>
        <v>N/A</v>
      </c>
      <c r="BZ23" s="110"/>
      <c r="CA23" s="82" t="str">
        <f t="shared" si="9"/>
        <v>N/A</v>
      </c>
      <c r="CB23" s="110"/>
      <c r="CC23" s="82" t="str">
        <f t="shared" si="10"/>
        <v>N/A</v>
      </c>
      <c r="CD23" s="110"/>
      <c r="CE23" s="82" t="str">
        <f t="shared" si="11"/>
        <v>N/A</v>
      </c>
      <c r="CF23" s="110"/>
      <c r="CG23" s="82" t="str">
        <f t="shared" si="12"/>
        <v>N/A</v>
      </c>
      <c r="CH23" s="110"/>
      <c r="CI23" s="82" t="str">
        <f t="shared" si="13"/>
        <v>N/A</v>
      </c>
      <c r="CJ23" s="110"/>
      <c r="CK23" s="82" t="str">
        <f t="shared" si="14"/>
        <v>N/A</v>
      </c>
      <c r="CL23" s="110"/>
      <c r="CM23" s="82" t="str">
        <f t="shared" si="0"/>
        <v>N/A</v>
      </c>
      <c r="CN23" s="110"/>
      <c r="CO23" s="82" t="str">
        <f t="shared" si="15"/>
        <v>N/A</v>
      </c>
      <c r="CP23" s="110"/>
      <c r="CQ23" s="82" t="str">
        <f t="shared" si="16"/>
        <v>N/A</v>
      </c>
      <c r="CR23" s="110"/>
      <c r="CS23" s="82" t="str">
        <f t="shared" si="1"/>
        <v>N/A</v>
      </c>
    </row>
    <row r="24" spans="1:97" s="397" customFormat="1" ht="15" customHeight="1">
      <c r="A24" s="399" t="s">
        <v>76</v>
      </c>
      <c r="B24" s="383">
        <v>35</v>
      </c>
      <c r="C24" s="384">
        <v>16</v>
      </c>
      <c r="D24" s="385" t="s">
        <v>509</v>
      </c>
      <c r="E24" s="265" t="s">
        <v>360</v>
      </c>
      <c r="F24" s="612"/>
      <c r="G24" s="627"/>
      <c r="H24" s="612"/>
      <c r="I24" s="627"/>
      <c r="J24" s="612"/>
      <c r="K24" s="627"/>
      <c r="L24" s="612"/>
      <c r="M24" s="627"/>
      <c r="N24" s="612"/>
      <c r="O24" s="627"/>
      <c r="P24" s="612"/>
      <c r="Q24" s="627"/>
      <c r="R24" s="612"/>
      <c r="S24" s="627"/>
      <c r="T24" s="612"/>
      <c r="U24" s="627"/>
      <c r="V24" s="612"/>
      <c r="W24" s="627"/>
      <c r="X24" s="612"/>
      <c r="Y24" s="627"/>
      <c r="Z24" s="612"/>
      <c r="AA24" s="627"/>
      <c r="AB24" s="612"/>
      <c r="AC24" s="627"/>
      <c r="AD24" s="612"/>
      <c r="AE24" s="627"/>
      <c r="AF24" s="612"/>
      <c r="AG24" s="627"/>
      <c r="AH24" s="612"/>
      <c r="AI24" s="627"/>
      <c r="AJ24" s="612"/>
      <c r="AK24" s="627"/>
      <c r="AL24" s="612"/>
      <c r="AM24" s="627"/>
      <c r="AN24" s="612"/>
      <c r="AO24" s="627"/>
      <c r="AP24" s="612"/>
      <c r="AQ24" s="627"/>
      <c r="AR24" s="612"/>
      <c r="AS24" s="627"/>
      <c r="AT24" s="612"/>
      <c r="AU24" s="627"/>
      <c r="AV24" s="612"/>
      <c r="AW24" s="627"/>
      <c r="AY24" s="398"/>
      <c r="AZ24" s="388">
        <v>16</v>
      </c>
      <c r="BA24" s="389" t="s">
        <v>509</v>
      </c>
      <c r="BB24" s="84" t="s">
        <v>93</v>
      </c>
      <c r="BC24" s="110" t="s">
        <v>97</v>
      </c>
      <c r="BD24" s="655"/>
      <c r="BE24" s="82" t="str">
        <f t="shared" si="2"/>
        <v>N/A</v>
      </c>
      <c r="BF24" s="655"/>
      <c r="BG24" s="82" t="str">
        <f t="shared" si="17"/>
        <v>N/A</v>
      </c>
      <c r="BH24" s="110"/>
      <c r="BI24" s="82" t="str">
        <f t="shared" si="18"/>
        <v>N/A</v>
      </c>
      <c r="BJ24" s="110"/>
      <c r="BK24" s="82" t="str">
        <f t="shared" si="19"/>
        <v>N/A</v>
      </c>
      <c r="BL24" s="110"/>
      <c r="BM24" s="82" t="str">
        <f t="shared" si="20"/>
        <v>N/A</v>
      </c>
      <c r="BN24" s="110"/>
      <c r="BO24" s="82" t="str">
        <f t="shared" si="3"/>
        <v>N/A</v>
      </c>
      <c r="BP24" s="110"/>
      <c r="BQ24" s="82" t="str">
        <f t="shared" si="4"/>
        <v>N/A</v>
      </c>
      <c r="BR24" s="110"/>
      <c r="BS24" s="82" t="str">
        <f t="shared" si="5"/>
        <v>N/A</v>
      </c>
      <c r="BT24" s="110"/>
      <c r="BU24" s="82" t="str">
        <f t="shared" si="6"/>
        <v>N/A</v>
      </c>
      <c r="BV24" s="110"/>
      <c r="BW24" s="82" t="str">
        <f t="shared" si="7"/>
        <v>N/A</v>
      </c>
      <c r="BX24" s="110"/>
      <c r="BY24" s="82" t="str">
        <f t="shared" si="8"/>
        <v>N/A</v>
      </c>
      <c r="BZ24" s="110"/>
      <c r="CA24" s="82" t="str">
        <f t="shared" si="9"/>
        <v>N/A</v>
      </c>
      <c r="CB24" s="110"/>
      <c r="CC24" s="82" t="str">
        <f t="shared" si="10"/>
        <v>N/A</v>
      </c>
      <c r="CD24" s="110"/>
      <c r="CE24" s="82" t="str">
        <f t="shared" si="11"/>
        <v>N/A</v>
      </c>
      <c r="CF24" s="110"/>
      <c r="CG24" s="82" t="str">
        <f t="shared" si="12"/>
        <v>N/A</v>
      </c>
      <c r="CH24" s="110"/>
      <c r="CI24" s="82" t="str">
        <f t="shared" si="13"/>
        <v>N/A</v>
      </c>
      <c r="CJ24" s="110"/>
      <c r="CK24" s="82" t="str">
        <f t="shared" si="14"/>
        <v>N/A</v>
      </c>
      <c r="CL24" s="110"/>
      <c r="CM24" s="82" t="str">
        <f t="shared" si="0"/>
        <v>N/A</v>
      </c>
      <c r="CN24" s="110"/>
      <c r="CO24" s="82" t="str">
        <f t="shared" si="15"/>
        <v>N/A</v>
      </c>
      <c r="CP24" s="110"/>
      <c r="CQ24" s="82" t="str">
        <f t="shared" si="16"/>
        <v>N/A</v>
      </c>
      <c r="CR24" s="110"/>
      <c r="CS24" s="82" t="str">
        <f t="shared" si="1"/>
        <v>N/A</v>
      </c>
    </row>
    <row r="25" spans="1:97" s="390" customFormat="1" ht="15" customHeight="1">
      <c r="A25" s="221"/>
      <c r="B25" s="377">
        <v>5010</v>
      </c>
      <c r="C25" s="633"/>
      <c r="D25" s="632" t="s">
        <v>505</v>
      </c>
      <c r="E25" s="633"/>
      <c r="F25" s="634"/>
      <c r="G25" s="635"/>
      <c r="H25" s="634"/>
      <c r="I25" s="635"/>
      <c r="J25" s="634"/>
      <c r="K25" s="635"/>
      <c r="L25" s="634"/>
      <c r="M25" s="635"/>
      <c r="N25" s="634"/>
      <c r="O25" s="635"/>
      <c r="P25" s="634"/>
      <c r="Q25" s="635"/>
      <c r="R25" s="634"/>
      <c r="S25" s="635"/>
      <c r="T25" s="634"/>
      <c r="U25" s="635"/>
      <c r="V25" s="634"/>
      <c r="W25" s="635"/>
      <c r="X25" s="634"/>
      <c r="Y25" s="635"/>
      <c r="Z25" s="634"/>
      <c r="AA25" s="635"/>
      <c r="AB25" s="634"/>
      <c r="AC25" s="635"/>
      <c r="AD25" s="634"/>
      <c r="AE25" s="635"/>
      <c r="AF25" s="634"/>
      <c r="AG25" s="635"/>
      <c r="AH25" s="634"/>
      <c r="AI25" s="635"/>
      <c r="AJ25" s="634"/>
      <c r="AK25" s="635"/>
      <c r="AL25" s="634"/>
      <c r="AM25" s="635"/>
      <c r="AN25" s="634"/>
      <c r="AO25" s="635"/>
      <c r="AP25" s="634"/>
      <c r="AQ25" s="635"/>
      <c r="AR25" s="634"/>
      <c r="AS25" s="635"/>
      <c r="AT25" s="634"/>
      <c r="AU25" s="635"/>
      <c r="AV25" s="634"/>
      <c r="AW25" s="635"/>
      <c r="AY25" s="224"/>
      <c r="AZ25" s="84"/>
      <c r="BA25" s="391" t="s">
        <v>505</v>
      </c>
      <c r="BB25" s="84"/>
      <c r="BC25" s="82"/>
      <c r="BD25" s="646"/>
      <c r="BE25" s="82"/>
      <c r="BF25" s="646"/>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row>
    <row r="26" spans="1:97" s="390" customFormat="1" ht="15" customHeight="1">
      <c r="A26" s="221"/>
      <c r="B26" s="377">
        <v>279</v>
      </c>
      <c r="C26" s="265">
        <v>17</v>
      </c>
      <c r="D26" s="378" t="s">
        <v>449</v>
      </c>
      <c r="E26" s="265" t="s">
        <v>360</v>
      </c>
      <c r="F26" s="612"/>
      <c r="G26" s="627"/>
      <c r="H26" s="612"/>
      <c r="I26" s="627"/>
      <c r="J26" s="612"/>
      <c r="K26" s="627"/>
      <c r="L26" s="612"/>
      <c r="M26" s="627"/>
      <c r="N26" s="612"/>
      <c r="O26" s="627"/>
      <c r="P26" s="612"/>
      <c r="Q26" s="627"/>
      <c r="R26" s="612"/>
      <c r="S26" s="627"/>
      <c r="T26" s="612"/>
      <c r="U26" s="627"/>
      <c r="V26" s="612"/>
      <c r="W26" s="627"/>
      <c r="X26" s="612"/>
      <c r="Y26" s="627"/>
      <c r="Z26" s="612"/>
      <c r="AA26" s="627"/>
      <c r="AB26" s="612"/>
      <c r="AC26" s="627"/>
      <c r="AD26" s="612"/>
      <c r="AE26" s="627"/>
      <c r="AF26" s="612"/>
      <c r="AG26" s="627"/>
      <c r="AH26" s="612"/>
      <c r="AI26" s="627"/>
      <c r="AJ26" s="612"/>
      <c r="AK26" s="627"/>
      <c r="AL26" s="612"/>
      <c r="AM26" s="627"/>
      <c r="AN26" s="612"/>
      <c r="AO26" s="627"/>
      <c r="AP26" s="612"/>
      <c r="AQ26" s="627"/>
      <c r="AR26" s="612"/>
      <c r="AS26" s="627"/>
      <c r="AT26" s="612"/>
      <c r="AU26" s="627"/>
      <c r="AV26" s="612"/>
      <c r="AW26" s="627"/>
      <c r="AY26" s="224"/>
      <c r="AZ26" s="84">
        <v>17</v>
      </c>
      <c r="BA26" s="303" t="s">
        <v>449</v>
      </c>
      <c r="BB26" s="84" t="s">
        <v>93</v>
      </c>
      <c r="BC26" s="82" t="s">
        <v>97</v>
      </c>
      <c r="BD26" s="646"/>
      <c r="BE26" s="82" t="str">
        <f t="shared" si="2"/>
        <v>N/A</v>
      </c>
      <c r="BF26" s="646"/>
      <c r="BG26" s="82" t="str">
        <f aca="true" t="shared" si="21" ref="BG26:BG31">IF(OR(ISBLANK(H26),ISBLANK(J26)),"N/A",IF(ABS((J26-H26)/H26)&gt;0.25,"&gt; 25%","ok"))</f>
        <v>N/A</v>
      </c>
      <c r="BH26" s="82"/>
      <c r="BI26" s="82" t="str">
        <f aca="true" t="shared" si="22" ref="BI26:BI31">IF(OR(ISBLANK(J26),ISBLANK(L26)),"N/A",IF(ABS((L26-J26)/J26)&gt;0.25,"&gt; 25%","ok"))</f>
        <v>N/A</v>
      </c>
      <c r="BJ26" s="82"/>
      <c r="BK26" s="82" t="str">
        <f aca="true" t="shared" si="23" ref="BK26:BK31">IF(OR(ISBLANK(L26),ISBLANK(N26)),"N/A",IF(ABS((N26-L26)/L26)&gt;0.25,"&gt; 25%","ok"))</f>
        <v>N/A</v>
      </c>
      <c r="BL26" s="82"/>
      <c r="BM26" s="82" t="str">
        <f aca="true" t="shared" si="24" ref="BM26:BM31">IF(OR(ISBLANK(N26),ISBLANK(P26)),"N/A",IF(ABS((P26-N26)/N26)&gt;0.25,"&gt; 25%","ok"))</f>
        <v>N/A</v>
      </c>
      <c r="BN26" s="82"/>
      <c r="BO26" s="82" t="str">
        <f t="shared" si="3"/>
        <v>N/A</v>
      </c>
      <c r="BP26" s="82"/>
      <c r="BQ26" s="82" t="str">
        <f t="shared" si="4"/>
        <v>N/A</v>
      </c>
      <c r="BR26" s="82"/>
      <c r="BS26" s="82" t="str">
        <f t="shared" si="5"/>
        <v>N/A</v>
      </c>
      <c r="BT26" s="82"/>
      <c r="BU26" s="82">
        <v>0</v>
      </c>
      <c r="BV26" s="82"/>
      <c r="BW26" s="82" t="str">
        <f t="shared" si="7"/>
        <v>N/A</v>
      </c>
      <c r="BX26" s="82"/>
      <c r="BY26" s="82" t="str">
        <f t="shared" si="8"/>
        <v>N/A</v>
      </c>
      <c r="BZ26" s="82"/>
      <c r="CA26" s="82" t="str">
        <f t="shared" si="9"/>
        <v>N/A</v>
      </c>
      <c r="CB26" s="82"/>
      <c r="CC26" s="82" t="str">
        <f t="shared" si="10"/>
        <v>N/A</v>
      </c>
      <c r="CD26" s="82"/>
      <c r="CE26" s="82" t="str">
        <f t="shared" si="11"/>
        <v>N/A</v>
      </c>
      <c r="CF26" s="82"/>
      <c r="CG26" s="82" t="str">
        <f t="shared" si="12"/>
        <v>N/A</v>
      </c>
      <c r="CH26" s="82"/>
      <c r="CI26" s="82" t="str">
        <f t="shared" si="13"/>
        <v>N/A</v>
      </c>
      <c r="CJ26" s="82"/>
      <c r="CK26" s="82" t="str">
        <f t="shared" si="14"/>
        <v>N/A</v>
      </c>
      <c r="CL26" s="82"/>
      <c r="CM26" s="82" t="str">
        <f t="shared" si="0"/>
        <v>N/A</v>
      </c>
      <c r="CN26" s="82"/>
      <c r="CO26" s="82" t="str">
        <f t="shared" si="15"/>
        <v>N/A</v>
      </c>
      <c r="CP26" s="82"/>
      <c r="CQ26" s="82" t="str">
        <f t="shared" si="16"/>
        <v>N/A</v>
      </c>
      <c r="CR26" s="82"/>
      <c r="CS26" s="82" t="str">
        <f t="shared" si="1"/>
        <v>N/A</v>
      </c>
    </row>
    <row r="27" spans="1:97" s="390" customFormat="1" ht="15" customHeight="1">
      <c r="A27" s="221"/>
      <c r="B27" s="377">
        <v>280</v>
      </c>
      <c r="C27" s="400">
        <v>18</v>
      </c>
      <c r="D27" s="378" t="s">
        <v>231</v>
      </c>
      <c r="E27" s="265" t="s">
        <v>360</v>
      </c>
      <c r="F27" s="642"/>
      <c r="G27" s="624"/>
      <c r="H27" s="642"/>
      <c r="I27" s="624"/>
      <c r="J27" s="642"/>
      <c r="K27" s="624"/>
      <c r="L27" s="642"/>
      <c r="M27" s="624"/>
      <c r="N27" s="642"/>
      <c r="O27" s="624"/>
      <c r="P27" s="642"/>
      <c r="Q27" s="624"/>
      <c r="R27" s="642"/>
      <c r="S27" s="624"/>
      <c r="T27" s="642"/>
      <c r="U27" s="624"/>
      <c r="V27" s="642"/>
      <c r="W27" s="624"/>
      <c r="X27" s="642"/>
      <c r="Y27" s="624"/>
      <c r="Z27" s="642"/>
      <c r="AA27" s="624"/>
      <c r="AB27" s="642"/>
      <c r="AC27" s="624"/>
      <c r="AD27" s="642"/>
      <c r="AE27" s="624"/>
      <c r="AF27" s="642"/>
      <c r="AG27" s="624"/>
      <c r="AH27" s="642"/>
      <c r="AI27" s="624"/>
      <c r="AJ27" s="642"/>
      <c r="AK27" s="624"/>
      <c r="AL27" s="642"/>
      <c r="AM27" s="624"/>
      <c r="AN27" s="642"/>
      <c r="AO27" s="624"/>
      <c r="AP27" s="642"/>
      <c r="AQ27" s="624"/>
      <c r="AR27" s="642"/>
      <c r="AS27" s="624"/>
      <c r="AT27" s="642"/>
      <c r="AU27" s="624"/>
      <c r="AV27" s="642"/>
      <c r="AW27" s="624"/>
      <c r="AY27" s="224"/>
      <c r="AZ27" s="401">
        <v>18</v>
      </c>
      <c r="BA27" s="303" t="s">
        <v>231</v>
      </c>
      <c r="BB27" s="84" t="s">
        <v>93</v>
      </c>
      <c r="BC27" s="82" t="s">
        <v>97</v>
      </c>
      <c r="BD27" s="647"/>
      <c r="BE27" s="82" t="str">
        <f>IF(OR(ISBLANK(F27),ISBLANK(H27)),"N/A",IF(ABS((H27-F27)/F27)&gt;1,"&gt; 100%","ok"))</f>
        <v>N/A</v>
      </c>
      <c r="BF27" s="646"/>
      <c r="BG27" s="82" t="str">
        <f t="shared" si="21"/>
        <v>N/A</v>
      </c>
      <c r="BH27" s="82"/>
      <c r="BI27" s="82" t="str">
        <f t="shared" si="22"/>
        <v>N/A</v>
      </c>
      <c r="BJ27" s="82"/>
      <c r="BK27" s="82" t="str">
        <f t="shared" si="23"/>
        <v>N/A</v>
      </c>
      <c r="BL27" s="82"/>
      <c r="BM27" s="82" t="str">
        <f t="shared" si="24"/>
        <v>N/A</v>
      </c>
      <c r="BN27" s="82"/>
      <c r="BO27" s="82" t="str">
        <f>IF(OR(ISBLANK(P27),ISBLANK(R27)),"N/A",IF(ABS((R27-P27)/P27)&gt;0.25,"&gt; 25%","ok"))</f>
        <v>N/A</v>
      </c>
      <c r="BP27" s="82"/>
      <c r="BQ27" s="82" t="str">
        <f t="shared" si="4"/>
        <v>N/A</v>
      </c>
      <c r="BR27" s="82"/>
      <c r="BS27" s="82" t="str">
        <f t="shared" si="5"/>
        <v>N/A</v>
      </c>
      <c r="BT27" s="82"/>
      <c r="BU27" s="82" t="str">
        <f t="shared" si="6"/>
        <v>N/A</v>
      </c>
      <c r="BV27" s="82"/>
      <c r="BW27" s="82" t="str">
        <f t="shared" si="7"/>
        <v>N/A</v>
      </c>
      <c r="BX27" s="82"/>
      <c r="BY27" s="82" t="str">
        <f t="shared" si="8"/>
        <v>N/A</v>
      </c>
      <c r="BZ27" s="82"/>
      <c r="CA27" s="82" t="str">
        <f t="shared" si="9"/>
        <v>N/A</v>
      </c>
      <c r="CB27" s="82"/>
      <c r="CC27" s="82" t="str">
        <f t="shared" si="10"/>
        <v>N/A</v>
      </c>
      <c r="CD27" s="82"/>
      <c r="CE27" s="82" t="str">
        <f t="shared" si="11"/>
        <v>N/A</v>
      </c>
      <c r="CF27" s="82"/>
      <c r="CG27" s="82" t="str">
        <f t="shared" si="12"/>
        <v>N/A</v>
      </c>
      <c r="CH27" s="82"/>
      <c r="CI27" s="82" t="str">
        <f t="shared" si="13"/>
        <v>N/A</v>
      </c>
      <c r="CJ27" s="82"/>
      <c r="CK27" s="82" t="str">
        <f t="shared" si="14"/>
        <v>N/A</v>
      </c>
      <c r="CL27" s="82"/>
      <c r="CM27" s="82" t="str">
        <f t="shared" si="0"/>
        <v>N/A</v>
      </c>
      <c r="CN27" s="82"/>
      <c r="CO27" s="82" t="str">
        <f t="shared" si="15"/>
        <v>N/A</v>
      </c>
      <c r="CP27" s="82"/>
      <c r="CQ27" s="82" t="str">
        <f t="shared" si="16"/>
        <v>N/A</v>
      </c>
      <c r="CR27" s="82"/>
      <c r="CS27" s="82" t="str">
        <f t="shared" si="1"/>
        <v>N/A</v>
      </c>
    </row>
    <row r="28" spans="1:97" s="390" customFormat="1" ht="27" customHeight="1">
      <c r="A28" s="221"/>
      <c r="B28" s="377">
        <v>281</v>
      </c>
      <c r="C28" s="400">
        <v>19</v>
      </c>
      <c r="D28" s="378" t="s">
        <v>516</v>
      </c>
      <c r="E28" s="265" t="s">
        <v>360</v>
      </c>
      <c r="F28" s="642"/>
      <c r="G28" s="624"/>
      <c r="H28" s="642"/>
      <c r="I28" s="624"/>
      <c r="J28" s="642"/>
      <c r="K28" s="624"/>
      <c r="L28" s="642"/>
      <c r="M28" s="624"/>
      <c r="N28" s="642"/>
      <c r="O28" s="624"/>
      <c r="P28" s="642"/>
      <c r="Q28" s="624"/>
      <c r="R28" s="642"/>
      <c r="S28" s="624"/>
      <c r="T28" s="642"/>
      <c r="U28" s="624"/>
      <c r="V28" s="642"/>
      <c r="W28" s="624"/>
      <c r="X28" s="642"/>
      <c r="Y28" s="624"/>
      <c r="Z28" s="642"/>
      <c r="AA28" s="624"/>
      <c r="AB28" s="642"/>
      <c r="AC28" s="624"/>
      <c r="AD28" s="642"/>
      <c r="AE28" s="624"/>
      <c r="AF28" s="642"/>
      <c r="AG28" s="624"/>
      <c r="AH28" s="642"/>
      <c r="AI28" s="624"/>
      <c r="AJ28" s="642"/>
      <c r="AK28" s="624"/>
      <c r="AL28" s="642"/>
      <c r="AM28" s="624"/>
      <c r="AN28" s="642"/>
      <c r="AO28" s="624"/>
      <c r="AP28" s="642"/>
      <c r="AQ28" s="624"/>
      <c r="AR28" s="642"/>
      <c r="AS28" s="624"/>
      <c r="AT28" s="642"/>
      <c r="AU28" s="624"/>
      <c r="AV28" s="642"/>
      <c r="AW28" s="624"/>
      <c r="AY28" s="224"/>
      <c r="AZ28" s="401">
        <v>19</v>
      </c>
      <c r="BA28" s="303" t="s">
        <v>599</v>
      </c>
      <c r="BB28" s="84" t="s">
        <v>93</v>
      </c>
      <c r="BC28" s="82"/>
      <c r="BD28" s="647"/>
      <c r="BE28" s="82" t="str">
        <f>IF(OR(ISBLANK(F28),ISBLANK(H28)),"N/A",IF(ABS((H28-F28)/F28)&gt;1,"&gt; 100%","ok"))</f>
        <v>N/A</v>
      </c>
      <c r="BF28" s="646"/>
      <c r="BG28" s="82" t="str">
        <f t="shared" si="21"/>
        <v>N/A</v>
      </c>
      <c r="BH28" s="82"/>
      <c r="BI28" s="82" t="str">
        <f t="shared" si="22"/>
        <v>N/A</v>
      </c>
      <c r="BJ28" s="82"/>
      <c r="BK28" s="82" t="str">
        <f t="shared" si="23"/>
        <v>N/A</v>
      </c>
      <c r="BL28" s="82"/>
      <c r="BM28" s="82" t="str">
        <f>IF(OR(ISBLANK(N28),ISBLANK(P28)),"N/A",IF(ABS((P28-N28)/N28)&gt;0.25,"&gt; 25%","ok"))</f>
        <v>N/A</v>
      </c>
      <c r="BN28" s="82"/>
      <c r="BO28" s="82" t="str">
        <f>IF(OR(ISBLANK(P28),ISBLANK(R28)),"N/A",IF(ABS((R28-P28)/P28)&gt;0.25,"&gt; 25%","ok"))</f>
        <v>N/A</v>
      </c>
      <c r="BP28" s="82"/>
      <c r="BQ28" s="82" t="str">
        <f t="shared" si="4"/>
        <v>N/A</v>
      </c>
      <c r="BR28" s="82"/>
      <c r="BS28" s="82" t="str">
        <f t="shared" si="5"/>
        <v>N/A</v>
      </c>
      <c r="BT28" s="82"/>
      <c r="BU28" s="82" t="str">
        <f t="shared" si="6"/>
        <v>N/A</v>
      </c>
      <c r="BV28" s="82"/>
      <c r="BW28" s="82" t="str">
        <f t="shared" si="7"/>
        <v>N/A</v>
      </c>
      <c r="BX28" s="82"/>
      <c r="BY28" s="82" t="str">
        <f t="shared" si="8"/>
        <v>N/A</v>
      </c>
      <c r="BZ28" s="82"/>
      <c r="CA28" s="82" t="str">
        <f t="shared" si="9"/>
        <v>N/A</v>
      </c>
      <c r="CB28" s="82"/>
      <c r="CC28" s="82" t="str">
        <f t="shared" si="10"/>
        <v>N/A</v>
      </c>
      <c r="CD28" s="82"/>
      <c r="CE28" s="82" t="str">
        <f t="shared" si="11"/>
        <v>N/A</v>
      </c>
      <c r="CF28" s="82"/>
      <c r="CG28" s="82" t="str">
        <f t="shared" si="12"/>
        <v>N/A</v>
      </c>
      <c r="CH28" s="82"/>
      <c r="CI28" s="82" t="str">
        <f t="shared" si="13"/>
        <v>N/A</v>
      </c>
      <c r="CJ28" s="82"/>
      <c r="CK28" s="82" t="str">
        <f t="shared" si="14"/>
        <v>N/A</v>
      </c>
      <c r="CL28" s="82"/>
      <c r="CM28" s="82" t="str">
        <f t="shared" si="0"/>
        <v>N/A</v>
      </c>
      <c r="CN28" s="82"/>
      <c r="CO28" s="82" t="str">
        <f t="shared" si="15"/>
        <v>N/A</v>
      </c>
      <c r="CP28" s="82"/>
      <c r="CQ28" s="82" t="str">
        <f t="shared" si="16"/>
        <v>N/A</v>
      </c>
      <c r="CR28" s="82"/>
      <c r="CS28" s="82" t="str">
        <f t="shared" si="1"/>
        <v>N/A</v>
      </c>
    </row>
    <row r="29" spans="1:97" s="390" customFormat="1" ht="15" customHeight="1">
      <c r="A29" s="221"/>
      <c r="B29" s="377">
        <v>282</v>
      </c>
      <c r="C29" s="400">
        <v>20</v>
      </c>
      <c r="D29" s="378" t="s">
        <v>450</v>
      </c>
      <c r="E29" s="265" t="s">
        <v>360</v>
      </c>
      <c r="F29" s="642"/>
      <c r="G29" s="624"/>
      <c r="H29" s="642"/>
      <c r="I29" s="624"/>
      <c r="J29" s="642"/>
      <c r="K29" s="624"/>
      <c r="L29" s="642"/>
      <c r="M29" s="624"/>
      <c r="N29" s="642"/>
      <c r="O29" s="624"/>
      <c r="P29" s="642"/>
      <c r="Q29" s="624"/>
      <c r="R29" s="642"/>
      <c r="S29" s="624"/>
      <c r="T29" s="642"/>
      <c r="U29" s="624"/>
      <c r="V29" s="642"/>
      <c r="W29" s="624"/>
      <c r="X29" s="642"/>
      <c r="Y29" s="624"/>
      <c r="Z29" s="642"/>
      <c r="AA29" s="624"/>
      <c r="AB29" s="642"/>
      <c r="AC29" s="624"/>
      <c r="AD29" s="642"/>
      <c r="AE29" s="624"/>
      <c r="AF29" s="642"/>
      <c r="AG29" s="624"/>
      <c r="AH29" s="642"/>
      <c r="AI29" s="624"/>
      <c r="AJ29" s="642"/>
      <c r="AK29" s="624"/>
      <c r="AL29" s="642"/>
      <c r="AM29" s="624"/>
      <c r="AN29" s="642"/>
      <c r="AO29" s="624"/>
      <c r="AP29" s="642"/>
      <c r="AQ29" s="624"/>
      <c r="AR29" s="642"/>
      <c r="AS29" s="624"/>
      <c r="AT29" s="642"/>
      <c r="AU29" s="624"/>
      <c r="AV29" s="642"/>
      <c r="AW29" s="624"/>
      <c r="AY29" s="224"/>
      <c r="AZ29" s="401">
        <v>20</v>
      </c>
      <c r="BA29" s="303" t="s">
        <v>450</v>
      </c>
      <c r="BB29" s="84" t="s">
        <v>93</v>
      </c>
      <c r="BC29" s="82" t="s">
        <v>97</v>
      </c>
      <c r="BD29" s="647"/>
      <c r="BE29" s="82" t="str">
        <f>IF(OR(ISBLANK(F29),ISBLANK(H29)),"N/A",IF(ABS((H29-F29)/F29)&gt;1,"&gt; 100%","ok"))</f>
        <v>N/A</v>
      </c>
      <c r="BF29" s="646"/>
      <c r="BG29" s="82" t="str">
        <f t="shared" si="21"/>
        <v>N/A</v>
      </c>
      <c r="BH29" s="82"/>
      <c r="BI29" s="82" t="str">
        <f t="shared" si="22"/>
        <v>N/A</v>
      </c>
      <c r="BJ29" s="82"/>
      <c r="BK29" s="82" t="str">
        <f t="shared" si="23"/>
        <v>N/A</v>
      </c>
      <c r="BL29" s="82"/>
      <c r="BM29" s="82" t="str">
        <f t="shared" si="24"/>
        <v>N/A</v>
      </c>
      <c r="BN29" s="82"/>
      <c r="BO29" s="82" t="str">
        <f>IF(OR(ISBLANK(P29),ISBLANK(R29)),"N/A",IF(ABS((R29-P29)/P29)&gt;0.25,"&gt; 25%","ok"))</f>
        <v>N/A</v>
      </c>
      <c r="BP29" s="82"/>
      <c r="BQ29" s="82" t="str">
        <f>IF(OR(ISBLANK(R29),ISBLANK(T29)),"N/A",IF(ABS((T29-R29)/R29)&gt;0.25,"&gt; 25%","ok"))</f>
        <v>N/A</v>
      </c>
      <c r="BR29" s="82"/>
      <c r="BS29" s="82" t="str">
        <f>IF(OR(ISBLANK(T29),ISBLANK(V29)),"N/A",IF(ABS((V29-T29)/T29)&gt;0.25,"&gt; 25%","ok"))</f>
        <v>N/A</v>
      </c>
      <c r="BT29" s="82"/>
      <c r="BU29" s="82" t="str">
        <f>IF(OR(ISBLANK(V29),ISBLANK(X29)),"N/A",IF(ABS((X29-V29)/V29)&gt;0.25,"&gt; 25%","ok"))</f>
        <v>N/A</v>
      </c>
      <c r="BV29" s="82"/>
      <c r="BW29" s="82" t="str">
        <f>IF(OR(ISBLANK(X29),ISBLANK(Z29)),"N/A",IF(ABS((Z29-X29)/X29)&gt;0.25,"&gt; 25%","ok"))</f>
        <v>N/A</v>
      </c>
      <c r="BX29" s="82"/>
      <c r="BY29" s="82" t="str">
        <f>IF(OR(ISBLANK(Z29),ISBLANK(AB29)),"N/A",IF(ABS((AB29-Z29)/Z29)&gt;0.25,"&gt; 25%","ok"))</f>
        <v>N/A</v>
      </c>
      <c r="BZ29" s="82"/>
      <c r="CA29" s="82" t="str">
        <f>IF(OR(ISBLANK(AB29),ISBLANK(AD29)),"N/A",IF(ABS((AD29-AB29)/AB29)&gt;0.25,"&gt; 25%","ok"))</f>
        <v>N/A</v>
      </c>
      <c r="CB29" s="82"/>
      <c r="CC29" s="82" t="str">
        <f>IF(OR(ISBLANK(AD29),ISBLANK(AF29)),"N/A",IF(ABS((AF29-AD29)/AD29)&gt;0.25,"&gt; 25%","ok"))</f>
        <v>N/A</v>
      </c>
      <c r="CD29" s="82"/>
      <c r="CE29" s="82" t="str">
        <f>IF(OR(ISBLANK(AF29),ISBLANK(AH29)),"N/A",IF(ABS((AH29-AF29)/AF29)&gt;0.25,"&gt; 25%","ok"))</f>
        <v>N/A</v>
      </c>
      <c r="CF29" s="82"/>
      <c r="CG29" s="82" t="str">
        <f>IF(OR(ISBLANK(AH29),ISBLANK(AJ29)),"N/A",IF(ABS((AJ29-AH29)/AH29)&gt;0.25,"&gt; 25%","ok"))</f>
        <v>N/A</v>
      </c>
      <c r="CH29" s="82"/>
      <c r="CI29" s="82" t="str">
        <f>IF(OR(ISBLANK(AJ29),ISBLANK(AL29)),"N/A",IF(ABS((AL29-AJ29)/AJ29)&gt;0.25,"&gt; 25%","ok"))</f>
        <v>N/A</v>
      </c>
      <c r="CJ29" s="82"/>
      <c r="CK29" s="82" t="str">
        <f>IF(OR(ISBLANK(AL29),ISBLANK(AN29)),"N/A",IF(ABS((AN29-AL29)/AL29)&gt;0.25,"&gt; 25%","ok"))</f>
        <v>N/A</v>
      </c>
      <c r="CL29" s="82"/>
      <c r="CM29" s="82" t="str">
        <f>IF(OR(ISBLANK(AN29),ISBLANK(AT29)),"N/A",IF(ABS((AT29-AN29)/AN29)&gt;0.25,"&gt; 25%","ok"))</f>
        <v>N/A</v>
      </c>
      <c r="CN29" s="82"/>
      <c r="CO29" s="82" t="str">
        <f>IF(OR(ISBLANK(AP29),ISBLANK(AR29)),"N/A",IF(ABS((AR29-AP29)/AP29)&gt;0.25,"&gt; 25%","ok"))</f>
        <v>N/A</v>
      </c>
      <c r="CP29" s="82"/>
      <c r="CQ29" s="82" t="str">
        <f>IF(OR(ISBLANK(AR29),ISBLANK(AT29)),"N/A",IF(ABS((AT29-AR29)/AR29)&gt;0.25,"&gt; 25%","ok"))</f>
        <v>N/A</v>
      </c>
      <c r="CR29" s="82"/>
      <c r="CS29" s="82" t="str">
        <f>IF(OR(ISBLANK(AT29),ISBLANK(AZ29)),"N/A",IF(ABS((AZ29-AT29)/AT29)&gt;0.25,"&gt; 25%","ok"))</f>
        <v>N/A</v>
      </c>
    </row>
    <row r="30" spans="1:97" s="390" customFormat="1" ht="15" customHeight="1">
      <c r="A30" s="221"/>
      <c r="B30" s="377">
        <v>283</v>
      </c>
      <c r="C30" s="400">
        <v>21</v>
      </c>
      <c r="D30" s="378" t="s">
        <v>451</v>
      </c>
      <c r="E30" s="265" t="s">
        <v>360</v>
      </c>
      <c r="F30" s="659"/>
      <c r="G30" s="624"/>
      <c r="H30" s="659"/>
      <c r="I30" s="624"/>
      <c r="J30" s="659"/>
      <c r="K30" s="624"/>
      <c r="L30" s="659"/>
      <c r="M30" s="624"/>
      <c r="N30" s="659"/>
      <c r="O30" s="624"/>
      <c r="P30" s="659"/>
      <c r="Q30" s="624"/>
      <c r="R30" s="659"/>
      <c r="S30" s="624"/>
      <c r="T30" s="659"/>
      <c r="U30" s="624"/>
      <c r="V30" s="659"/>
      <c r="W30" s="624"/>
      <c r="X30" s="659"/>
      <c r="Y30" s="624"/>
      <c r="Z30" s="659"/>
      <c r="AA30" s="624"/>
      <c r="AB30" s="659"/>
      <c r="AC30" s="624"/>
      <c r="AD30" s="659"/>
      <c r="AE30" s="624"/>
      <c r="AF30" s="659"/>
      <c r="AG30" s="624"/>
      <c r="AH30" s="659"/>
      <c r="AI30" s="624"/>
      <c r="AJ30" s="659"/>
      <c r="AK30" s="624"/>
      <c r="AL30" s="659"/>
      <c r="AM30" s="624"/>
      <c r="AN30" s="659"/>
      <c r="AO30" s="624"/>
      <c r="AP30" s="659"/>
      <c r="AQ30" s="624"/>
      <c r="AR30" s="659"/>
      <c r="AS30" s="624"/>
      <c r="AT30" s="659"/>
      <c r="AU30" s="624"/>
      <c r="AV30" s="659"/>
      <c r="AW30" s="624"/>
      <c r="AY30" s="224"/>
      <c r="AZ30" s="401">
        <v>21</v>
      </c>
      <c r="BA30" s="303" t="s">
        <v>451</v>
      </c>
      <c r="BB30" s="84" t="s">
        <v>93</v>
      </c>
      <c r="BC30" s="82" t="s">
        <v>97</v>
      </c>
      <c r="BD30" s="647"/>
      <c r="BE30" s="82" t="str">
        <f>IF(OR(ISBLANK(F30),ISBLANK(H30)),"N/A",IF(ABS((H30-F30)/F30)&gt;1,"&gt; 100%","ok"))</f>
        <v>N/A</v>
      </c>
      <c r="BF30" s="646"/>
      <c r="BG30" s="82" t="str">
        <f t="shared" si="21"/>
        <v>N/A</v>
      </c>
      <c r="BH30" s="82"/>
      <c r="BI30" s="82" t="str">
        <f t="shared" si="22"/>
        <v>N/A</v>
      </c>
      <c r="BJ30" s="82"/>
      <c r="BK30" s="82" t="str">
        <f t="shared" si="23"/>
        <v>N/A</v>
      </c>
      <c r="BL30" s="82"/>
      <c r="BM30" s="82" t="str">
        <f t="shared" si="24"/>
        <v>N/A</v>
      </c>
      <c r="BN30" s="82"/>
      <c r="BO30" s="82" t="str">
        <f>IF(OR(ISBLANK(P30),ISBLANK(R30)),"N/A",IF(ABS((R30-P30)/P30)&gt;0.25,"&gt; 25%","ok"))</f>
        <v>N/A</v>
      </c>
      <c r="BP30" s="82"/>
      <c r="BQ30" s="82" t="str">
        <f>IF(OR(ISBLANK(R30),ISBLANK(T30)),"N/A",IF(ABS((T30-R30)/R30)&gt;0.25,"&gt; 25%","ok"))</f>
        <v>N/A</v>
      </c>
      <c r="BR30" s="82"/>
      <c r="BS30" s="82" t="str">
        <f>IF(OR(ISBLANK(T30),ISBLANK(V30)),"N/A",IF(ABS((V30-T30)/T30)&gt;0.25,"&gt; 25%","ok"))</f>
        <v>N/A</v>
      </c>
      <c r="BT30" s="82"/>
      <c r="BU30" s="82" t="str">
        <f>IF(OR(ISBLANK(V30),ISBLANK(X30)),"N/A",IF(ABS((X30-V30)/V30)&gt;0.25,"&gt; 25%","ok"))</f>
        <v>N/A</v>
      </c>
      <c r="BV30" s="82"/>
      <c r="BW30" s="82" t="str">
        <f>IF(OR(ISBLANK(X30),ISBLANK(Z30)),"N/A",IF(ABS((Z30-X30)/X30)&gt;0.25,"&gt; 25%","ok"))</f>
        <v>N/A</v>
      </c>
      <c r="BX30" s="82"/>
      <c r="BY30" s="82" t="str">
        <f>IF(OR(ISBLANK(Z30),ISBLANK(AB30)),"N/A",IF(ABS((AB30-Z30)/Z30)&gt;0.25,"&gt; 25%","ok"))</f>
        <v>N/A</v>
      </c>
      <c r="BZ30" s="82"/>
      <c r="CA30" s="82" t="str">
        <f>IF(OR(ISBLANK(AB30),ISBLANK(AD30)),"N/A",IF(ABS((AD30-AB30)/AB30)&gt;0.25,"&gt; 25%","ok"))</f>
        <v>N/A</v>
      </c>
      <c r="CB30" s="82"/>
      <c r="CC30" s="82" t="str">
        <f>IF(OR(ISBLANK(AD30),ISBLANK(AF30)),"N/A",IF(ABS((AF30-AD30)/AD30)&gt;0.25,"&gt; 25%","ok"))</f>
        <v>N/A</v>
      </c>
      <c r="CD30" s="82"/>
      <c r="CE30" s="82" t="str">
        <f>IF(OR(ISBLANK(AF30),ISBLANK(AH30)),"N/A",IF(ABS((AH30-AF30)/AF30)&gt;0.25,"&gt; 25%","ok"))</f>
        <v>N/A</v>
      </c>
      <c r="CF30" s="82"/>
      <c r="CG30" s="82" t="str">
        <f>IF(OR(ISBLANK(AH30),ISBLANK(AJ30)),"N/A",IF(ABS((AJ30-AH30)/AH30)&gt;0.25,"&gt; 25%","ok"))</f>
        <v>N/A</v>
      </c>
      <c r="CH30" s="82"/>
      <c r="CI30" s="82" t="str">
        <f>IF(OR(ISBLANK(AJ30),ISBLANK(AL30)),"N/A",IF(ABS((AL30-AJ30)/AJ30)&gt;0.25,"&gt; 25%","ok"))</f>
        <v>N/A</v>
      </c>
      <c r="CJ30" s="82"/>
      <c r="CK30" s="82" t="str">
        <f>IF(OR(ISBLANK(AL30),ISBLANK(AN30)),"N/A",IF(ABS((AN30-AL30)/AL30)&gt;0.25,"&gt; 25%","ok"))</f>
        <v>N/A</v>
      </c>
      <c r="CL30" s="82"/>
      <c r="CM30" s="82" t="str">
        <f>IF(OR(ISBLANK(AN30),ISBLANK(AT30)),"N/A",IF(ABS((AT30-AN30)/AN30)&gt;0.25,"&gt; 25%","ok"))</f>
        <v>N/A</v>
      </c>
      <c r="CN30" s="82"/>
      <c r="CO30" s="82" t="str">
        <f>IF(OR(ISBLANK(AP30),ISBLANK(AR30)),"N/A",IF(ABS((AR30-AP30)/AP30)&gt;0.25,"&gt; 25%","ok"))</f>
        <v>N/A</v>
      </c>
      <c r="CP30" s="82"/>
      <c r="CQ30" s="82" t="str">
        <f>IF(OR(ISBLANK(AR30),ISBLANK(AT30)),"N/A",IF(ABS((AT30-AR30)/AR30)&gt;0.25,"&gt; 25%","ok"))</f>
        <v>N/A</v>
      </c>
      <c r="CR30" s="82"/>
      <c r="CS30" s="82" t="str">
        <f>IF(OR(ISBLANK(AT30),ISBLANK(AZ30)),"N/A",IF(ABS((AZ30-AT30)/AT30)&gt;0.25,"&gt; 25%","ok"))</f>
        <v>N/A</v>
      </c>
    </row>
    <row r="31" spans="1:97" s="390" customFormat="1" ht="15" customHeight="1">
      <c r="A31" s="221"/>
      <c r="B31" s="377">
        <v>284</v>
      </c>
      <c r="C31" s="402">
        <v>22</v>
      </c>
      <c r="D31" s="277" t="s">
        <v>452</v>
      </c>
      <c r="E31" s="403" t="s">
        <v>360</v>
      </c>
      <c r="F31" s="639"/>
      <c r="G31" s="626"/>
      <c r="H31" s="639"/>
      <c r="I31" s="626"/>
      <c r="J31" s="639"/>
      <c r="K31" s="626"/>
      <c r="L31" s="639"/>
      <c r="M31" s="626"/>
      <c r="N31" s="639"/>
      <c r="O31" s="626"/>
      <c r="P31" s="639"/>
      <c r="Q31" s="626"/>
      <c r="R31" s="639"/>
      <c r="S31" s="626"/>
      <c r="T31" s="639"/>
      <c r="U31" s="626"/>
      <c r="V31" s="639"/>
      <c r="W31" s="626"/>
      <c r="X31" s="639"/>
      <c r="Y31" s="626"/>
      <c r="Z31" s="639"/>
      <c r="AA31" s="626"/>
      <c r="AB31" s="639"/>
      <c r="AC31" s="626"/>
      <c r="AD31" s="639"/>
      <c r="AE31" s="626"/>
      <c r="AF31" s="639"/>
      <c r="AG31" s="626"/>
      <c r="AH31" s="639"/>
      <c r="AI31" s="626"/>
      <c r="AJ31" s="639"/>
      <c r="AK31" s="626"/>
      <c r="AL31" s="639"/>
      <c r="AM31" s="626"/>
      <c r="AN31" s="639"/>
      <c r="AO31" s="626"/>
      <c r="AP31" s="639"/>
      <c r="AQ31" s="626"/>
      <c r="AR31" s="639"/>
      <c r="AS31" s="626"/>
      <c r="AT31" s="639"/>
      <c r="AU31" s="626"/>
      <c r="AV31" s="639"/>
      <c r="AW31" s="626"/>
      <c r="AY31" s="224"/>
      <c r="AZ31" s="401">
        <v>22</v>
      </c>
      <c r="BA31" s="258" t="s">
        <v>452</v>
      </c>
      <c r="BB31" s="84" t="s">
        <v>93</v>
      </c>
      <c r="BC31" s="82" t="s">
        <v>97</v>
      </c>
      <c r="BD31" s="647"/>
      <c r="BE31" s="82" t="str">
        <f>IF(OR(ISBLANK(F31),ISBLANK(H31)),"N/A",IF(ABS((H31-F31)/F31)&gt;1,"&gt; 100%","ok"))</f>
        <v>N/A</v>
      </c>
      <c r="BF31" s="646"/>
      <c r="BG31" s="82" t="str">
        <f t="shared" si="21"/>
        <v>N/A</v>
      </c>
      <c r="BH31" s="82"/>
      <c r="BI31" s="82" t="str">
        <f t="shared" si="22"/>
        <v>N/A</v>
      </c>
      <c r="BJ31" s="82"/>
      <c r="BK31" s="82" t="str">
        <f t="shared" si="23"/>
        <v>N/A</v>
      </c>
      <c r="BL31" s="82"/>
      <c r="BM31" s="82" t="str">
        <f t="shared" si="24"/>
        <v>N/A</v>
      </c>
      <c r="BN31" s="82"/>
      <c r="BO31" s="82" t="str">
        <f>IF(OR(ISBLANK(P31),ISBLANK(R31)),"N/A",IF(ABS((R31-P31)/P31)&gt;0.25,"&gt; 25%","ok"))</f>
        <v>N/A</v>
      </c>
      <c r="BP31" s="82"/>
      <c r="BQ31" s="82" t="str">
        <f>IF(OR(ISBLANK(R31),ISBLANK(T31)),"N/A",IF(ABS((T31-R31)/R31)&gt;0.25,"&gt; 25%","ok"))</f>
        <v>N/A</v>
      </c>
      <c r="BR31" s="82"/>
      <c r="BS31" s="82" t="str">
        <f>IF(OR(ISBLANK(T31),ISBLANK(V31)),"N/A",IF(ABS((V31-T31)/T31)&gt;0.25,"&gt; 25%","ok"))</f>
        <v>N/A</v>
      </c>
      <c r="BT31" s="82"/>
      <c r="BU31" s="82" t="str">
        <f>IF(OR(ISBLANK(V31),ISBLANK(X31)),"N/A",IF(ABS((X31-V31)/V31)&gt;0.25,"&gt; 25%","ok"))</f>
        <v>N/A</v>
      </c>
      <c r="BV31" s="82"/>
      <c r="BW31" s="82" t="str">
        <f>IF(OR(ISBLANK(X31),ISBLANK(Z31)),"N/A",IF(ABS((Z31-X31)/X31)&gt;0.25,"&gt; 25%","ok"))</f>
        <v>N/A</v>
      </c>
      <c r="BX31" s="82"/>
      <c r="BY31" s="82" t="str">
        <f>IF(OR(ISBLANK(Z31),ISBLANK(AB31)),"N/A",IF(ABS((AB31-Z31)/Z31)&gt;0.25,"&gt; 25%","ok"))</f>
        <v>N/A</v>
      </c>
      <c r="BZ31" s="82"/>
      <c r="CA31" s="82" t="str">
        <f>IF(OR(ISBLANK(AB31),ISBLANK(AD31)),"N/A",IF(ABS((AD31-AB31)/AB31)&gt;0.25,"&gt; 25%","ok"))</f>
        <v>N/A</v>
      </c>
      <c r="CB31" s="82"/>
      <c r="CC31" s="82" t="str">
        <f>IF(OR(ISBLANK(AD31),ISBLANK(AF31)),"N/A",IF(ABS((AF31-AD31)/AD31)&gt;0.25,"&gt; 25%","ok"))</f>
        <v>N/A</v>
      </c>
      <c r="CD31" s="82"/>
      <c r="CE31" s="82" t="str">
        <f>IF(OR(ISBLANK(AF31),ISBLANK(AH31)),"N/A",IF(ABS((AH31-AF31)/AF31)&gt;0.25,"&gt; 25%","ok"))</f>
        <v>N/A</v>
      </c>
      <c r="CF31" s="82"/>
      <c r="CG31" s="82" t="str">
        <f>IF(OR(ISBLANK(AH31),ISBLANK(AJ31)),"N/A",IF(ABS((AJ31-AH31)/AH31)&gt;0.25,"&gt; 25%","ok"))</f>
        <v>N/A</v>
      </c>
      <c r="CH31" s="82"/>
      <c r="CI31" s="82" t="str">
        <f>IF(OR(ISBLANK(AJ31),ISBLANK(AL31)),"N/A",IF(ABS((AL31-AJ31)/AJ31)&gt;0.25,"&gt; 25%","ok"))</f>
        <v>N/A</v>
      </c>
      <c r="CJ31" s="82"/>
      <c r="CK31" s="82" t="str">
        <f>IF(OR(ISBLANK(AL31),ISBLANK(AN31)),"N/A",IF(ABS((AN31-AL31)/AL31)&gt;0.25,"&gt; 25%","ok"))</f>
        <v>N/A</v>
      </c>
      <c r="CL31" s="82"/>
      <c r="CM31" s="82" t="str">
        <f>IF(OR(ISBLANK(AN31),ISBLANK(AT31)),"N/A",IF(ABS((AT31-AN31)/AN31)&gt;0.25,"&gt; 25%","ok"))</f>
        <v>N/A</v>
      </c>
      <c r="CN31" s="82"/>
      <c r="CO31" s="82" t="str">
        <f>IF(OR(ISBLANK(AP31),ISBLANK(AR31)),"N/A",IF(ABS((AR31-AP31)/AP31)&gt;0.25,"&gt; 25%","ok"))</f>
        <v>N/A</v>
      </c>
      <c r="CP31" s="82"/>
      <c r="CQ31" s="82" t="str">
        <f>IF(OR(ISBLANK(AR31),ISBLANK(AT31)),"N/A",IF(ABS((AT31-AR31)/AR31)&gt;0.25,"&gt; 25%","ok"))</f>
        <v>N/A</v>
      </c>
      <c r="CR31" s="82"/>
      <c r="CS31" s="82" t="str">
        <f>IF(OR(ISBLANK(AT31),ISBLANK(AZ31)),"N/A",IF(ABS((AZ31-AT31)/AT31)&gt;0.25,"&gt; 25%","ok"))</f>
        <v>N/A</v>
      </c>
    </row>
    <row r="32" spans="3:97" ht="16.5" customHeight="1">
      <c r="C32" s="366" t="s">
        <v>351</v>
      </c>
      <c r="D32" s="280"/>
      <c r="E32" s="404"/>
      <c r="F32" s="405"/>
      <c r="AZ32" s="376" t="s">
        <v>600</v>
      </c>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row>
    <row r="33" spans="3:97" ht="24.75" customHeight="1">
      <c r="C33" s="288" t="s">
        <v>167</v>
      </c>
      <c r="D33" s="744" t="s">
        <v>230</v>
      </c>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744"/>
      <c r="AU33" s="744"/>
      <c r="AV33" s="744"/>
      <c r="AW33" s="744"/>
      <c r="AX33" s="744"/>
      <c r="AZ33" s="243" t="s">
        <v>347</v>
      </c>
      <c r="BA33" s="243" t="s">
        <v>349</v>
      </c>
      <c r="BB33" s="243" t="s">
        <v>352</v>
      </c>
      <c r="BC33" s="656">
        <v>1990</v>
      </c>
      <c r="BD33" s="657"/>
      <c r="BE33" s="656">
        <v>1995</v>
      </c>
      <c r="BF33" s="657"/>
      <c r="BG33" s="656">
        <v>1996</v>
      </c>
      <c r="BH33" s="657"/>
      <c r="BI33" s="656">
        <v>1997</v>
      </c>
      <c r="BJ33" s="657"/>
      <c r="BK33" s="656">
        <v>1998</v>
      </c>
      <c r="BL33" s="657"/>
      <c r="BM33" s="656">
        <v>1999</v>
      </c>
      <c r="BN33" s="657"/>
      <c r="BO33" s="656">
        <v>2000</v>
      </c>
      <c r="BP33" s="657"/>
      <c r="BQ33" s="656">
        <v>2001</v>
      </c>
      <c r="BR33" s="657"/>
      <c r="BS33" s="656">
        <v>2002</v>
      </c>
      <c r="BT33" s="657"/>
      <c r="BU33" s="656">
        <v>2003</v>
      </c>
      <c r="BV33" s="657"/>
      <c r="BW33" s="656">
        <v>2004</v>
      </c>
      <c r="BX33" s="657"/>
      <c r="BY33" s="656">
        <v>2005</v>
      </c>
      <c r="BZ33" s="657"/>
      <c r="CA33" s="656">
        <v>2006</v>
      </c>
      <c r="CB33" s="657"/>
      <c r="CC33" s="656">
        <v>2007</v>
      </c>
      <c r="CD33" s="657"/>
      <c r="CE33" s="656">
        <v>2008</v>
      </c>
      <c r="CF33" s="657"/>
      <c r="CG33" s="656">
        <v>2009</v>
      </c>
      <c r="CH33" s="657"/>
      <c r="CI33" s="656">
        <v>2010</v>
      </c>
      <c r="CJ33" s="657"/>
      <c r="CK33" s="656">
        <v>2011</v>
      </c>
      <c r="CL33" s="658"/>
      <c r="CM33" s="656">
        <v>2012</v>
      </c>
      <c r="CN33" s="657"/>
      <c r="CO33" s="656">
        <v>2013</v>
      </c>
      <c r="CP33" s="657"/>
      <c r="CQ33" s="656">
        <v>2014</v>
      </c>
      <c r="CR33" s="658"/>
      <c r="CS33" s="656">
        <v>2015</v>
      </c>
    </row>
    <row r="34" spans="3:97" ht="15" customHeight="1">
      <c r="C34" s="288" t="s">
        <v>167</v>
      </c>
      <c r="D34" s="744" t="s">
        <v>309</v>
      </c>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44"/>
      <c r="AL34" s="744"/>
      <c r="AM34" s="744"/>
      <c r="AN34" s="744"/>
      <c r="AO34" s="744"/>
      <c r="AP34" s="744"/>
      <c r="AQ34" s="744"/>
      <c r="AR34" s="744"/>
      <c r="AS34" s="744"/>
      <c r="AT34" s="744"/>
      <c r="AU34" s="744"/>
      <c r="AV34" s="744"/>
      <c r="AW34" s="744"/>
      <c r="AX34" s="744"/>
      <c r="AZ34" s="388"/>
      <c r="BA34" s="406" t="s">
        <v>24</v>
      </c>
      <c r="BB34" s="388"/>
      <c r="BC34" s="85"/>
      <c r="BD34" s="647"/>
      <c r="BE34" s="85"/>
      <c r="BF34" s="647"/>
      <c r="BG34" s="85"/>
      <c r="BH34" s="647"/>
      <c r="BI34" s="85"/>
      <c r="BJ34" s="647"/>
      <c r="BK34" s="85"/>
      <c r="BL34" s="647"/>
      <c r="BM34" s="85"/>
      <c r="BN34" s="647"/>
      <c r="BO34" s="85"/>
      <c r="BP34" s="647"/>
      <c r="BQ34" s="85"/>
      <c r="BR34" s="647"/>
      <c r="BS34" s="84"/>
      <c r="BT34" s="647"/>
      <c r="BU34" s="84"/>
      <c r="BV34" s="647"/>
      <c r="BW34" s="84"/>
      <c r="BX34" s="647"/>
      <c r="BY34" s="84"/>
      <c r="BZ34" s="647"/>
      <c r="CA34" s="84"/>
      <c r="CB34" s="647"/>
      <c r="CC34" s="84"/>
      <c r="CD34" s="647"/>
      <c r="CE34" s="85"/>
      <c r="CF34" s="647"/>
      <c r="CG34" s="84"/>
      <c r="CH34" s="647"/>
      <c r="CI34" s="84"/>
      <c r="CJ34" s="647"/>
      <c r="CK34" s="84"/>
      <c r="CL34" s="647"/>
      <c r="CM34" s="84"/>
      <c r="CN34" s="647"/>
      <c r="CO34" s="84"/>
      <c r="CP34" s="647"/>
      <c r="CQ34" s="84"/>
      <c r="CR34" s="647"/>
      <c r="CS34" s="84"/>
    </row>
    <row r="35" spans="1:111" s="202" customFormat="1" ht="24.75" customHeight="1">
      <c r="A35" s="290"/>
      <c r="B35" s="290"/>
      <c r="C35" s="288" t="s">
        <v>167</v>
      </c>
      <c r="D35" s="740" t="s">
        <v>168</v>
      </c>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0"/>
      <c r="AX35" s="740"/>
      <c r="AY35" s="407"/>
      <c r="AZ35" s="408">
        <v>3</v>
      </c>
      <c r="BA35" s="595" t="s">
        <v>140</v>
      </c>
      <c r="BB35" s="101" t="s">
        <v>93</v>
      </c>
      <c r="BC35" s="82">
        <f>F10</f>
        <v>0</v>
      </c>
      <c r="BD35" s="82"/>
      <c r="BE35" s="82">
        <f>H10</f>
        <v>0</v>
      </c>
      <c r="BF35" s="82"/>
      <c r="BG35" s="82">
        <f>J10</f>
        <v>0</v>
      </c>
      <c r="BH35" s="82"/>
      <c r="BI35" s="82">
        <f>L10</f>
        <v>0</v>
      </c>
      <c r="BJ35" s="82"/>
      <c r="BK35" s="82">
        <f>N10</f>
        <v>0</v>
      </c>
      <c r="BL35" s="82"/>
      <c r="BM35" s="82">
        <f>P10</f>
        <v>0</v>
      </c>
      <c r="BN35" s="82"/>
      <c r="BO35" s="82">
        <f>R10</f>
        <v>0</v>
      </c>
      <c r="BP35" s="82"/>
      <c r="BQ35" s="82">
        <f>T10</f>
        <v>0</v>
      </c>
      <c r="BR35" s="82"/>
      <c r="BS35" s="82">
        <f>V10</f>
        <v>0</v>
      </c>
      <c r="BT35" s="82"/>
      <c r="BU35" s="82">
        <f>X10</f>
        <v>0</v>
      </c>
      <c r="BV35" s="82"/>
      <c r="BW35" s="82">
        <f>Z10</f>
        <v>0</v>
      </c>
      <c r="BX35" s="82"/>
      <c r="BY35" s="82">
        <f>AB10</f>
        <v>0</v>
      </c>
      <c r="BZ35" s="82"/>
      <c r="CA35" s="82">
        <f>AD10</f>
        <v>0</v>
      </c>
      <c r="CB35" s="82"/>
      <c r="CC35" s="82">
        <f>AF10</f>
        <v>0</v>
      </c>
      <c r="CD35" s="82"/>
      <c r="CE35" s="82">
        <f>AH10</f>
        <v>0</v>
      </c>
      <c r="CF35" s="82"/>
      <c r="CG35" s="82">
        <f>AJ10</f>
        <v>0</v>
      </c>
      <c r="CH35" s="82"/>
      <c r="CI35" s="82">
        <f>AL10</f>
        <v>0</v>
      </c>
      <c r="CJ35" s="82"/>
      <c r="CK35" s="82">
        <f>AN10</f>
        <v>0</v>
      </c>
      <c r="CL35" s="82"/>
      <c r="CM35" s="82">
        <f>AP10</f>
        <v>0</v>
      </c>
      <c r="CN35" s="82"/>
      <c r="CO35" s="82">
        <f>AR10</f>
        <v>0</v>
      </c>
      <c r="CP35" s="82"/>
      <c r="CQ35" s="82">
        <f>AT10</f>
        <v>0</v>
      </c>
      <c r="CR35" s="82"/>
      <c r="CS35" s="82">
        <f>AV10</f>
        <v>0</v>
      </c>
      <c r="CT35" s="295"/>
      <c r="CU35" s="295"/>
      <c r="CV35" s="295"/>
      <c r="CW35" s="295"/>
      <c r="CX35" s="295"/>
      <c r="CY35" s="295"/>
      <c r="CZ35" s="295"/>
      <c r="DA35" s="295"/>
      <c r="DB35" s="295"/>
      <c r="DC35" s="295"/>
      <c r="DD35" s="295"/>
      <c r="DE35" s="295"/>
      <c r="DF35" s="295"/>
      <c r="DG35" s="295"/>
    </row>
    <row r="36" spans="1:111" s="202" customFormat="1" ht="25.5" customHeight="1">
      <c r="A36" s="290"/>
      <c r="B36" s="290"/>
      <c r="C36" s="288" t="s">
        <v>167</v>
      </c>
      <c r="D36" s="744" t="s">
        <v>129</v>
      </c>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4"/>
      <c r="AL36" s="744"/>
      <c r="AM36" s="744"/>
      <c r="AN36" s="744"/>
      <c r="AO36" s="744"/>
      <c r="AP36" s="744"/>
      <c r="AQ36" s="744"/>
      <c r="AR36" s="744"/>
      <c r="AS36" s="744"/>
      <c r="AT36" s="744"/>
      <c r="AU36" s="744"/>
      <c r="AV36" s="744"/>
      <c r="AW36" s="744"/>
      <c r="AX36" s="744"/>
      <c r="AY36" s="407"/>
      <c r="AZ36" s="311">
        <v>23</v>
      </c>
      <c r="BA36" s="409" t="s">
        <v>270</v>
      </c>
      <c r="BB36" s="101" t="s">
        <v>93</v>
      </c>
      <c r="BC36" s="85">
        <f>F8+F9</f>
        <v>0</v>
      </c>
      <c r="BD36" s="85"/>
      <c r="BE36" s="85">
        <f>H8+H9</f>
        <v>0</v>
      </c>
      <c r="BF36" s="85"/>
      <c r="BG36" s="85">
        <f>J8+J9</f>
        <v>0</v>
      </c>
      <c r="BH36" s="85"/>
      <c r="BI36" s="85">
        <f>L8+L9</f>
        <v>0</v>
      </c>
      <c r="BJ36" s="85"/>
      <c r="BK36" s="85">
        <f>N8+N9</f>
        <v>0</v>
      </c>
      <c r="BL36" s="85"/>
      <c r="BM36" s="85">
        <f>P8+P9</f>
        <v>0</v>
      </c>
      <c r="BN36" s="85"/>
      <c r="BO36" s="85">
        <f>R8+R9</f>
        <v>0</v>
      </c>
      <c r="BP36" s="85"/>
      <c r="BQ36" s="85">
        <f>T8+T9</f>
        <v>0</v>
      </c>
      <c r="BR36" s="85"/>
      <c r="BS36" s="85">
        <f>V8+V9</f>
        <v>0</v>
      </c>
      <c r="BT36" s="85"/>
      <c r="BU36" s="85">
        <f>X8+X9</f>
        <v>0</v>
      </c>
      <c r="BV36" s="85"/>
      <c r="BW36" s="85">
        <f>Z8+Z9</f>
        <v>0</v>
      </c>
      <c r="BX36" s="85"/>
      <c r="BY36" s="85">
        <f>AB8+AB9</f>
        <v>0</v>
      </c>
      <c r="BZ36" s="85"/>
      <c r="CA36" s="85">
        <f>AD8+AD9</f>
        <v>0</v>
      </c>
      <c r="CB36" s="85"/>
      <c r="CC36" s="85">
        <f>AF8+AF9</f>
        <v>0</v>
      </c>
      <c r="CD36" s="85"/>
      <c r="CE36" s="85">
        <f>AH8+AH9</f>
        <v>0</v>
      </c>
      <c r="CF36" s="85"/>
      <c r="CG36" s="85">
        <f>AJ8+AJ9</f>
        <v>0</v>
      </c>
      <c r="CH36" s="85"/>
      <c r="CI36" s="85">
        <f>AL8+AL9</f>
        <v>0</v>
      </c>
      <c r="CJ36" s="85"/>
      <c r="CK36" s="85">
        <f>AN8+AN9</f>
        <v>0</v>
      </c>
      <c r="CL36" s="85"/>
      <c r="CM36" s="85">
        <f>AP8+AP9</f>
        <v>0</v>
      </c>
      <c r="CN36" s="85"/>
      <c r="CO36" s="85">
        <f>AR8+AR9</f>
        <v>0</v>
      </c>
      <c r="CP36" s="85"/>
      <c r="CQ36" s="85">
        <f>AT8+AT9</f>
        <v>0</v>
      </c>
      <c r="CR36" s="85"/>
      <c r="CS36" s="85">
        <f>AV8+AV9</f>
        <v>0</v>
      </c>
      <c r="CT36" s="295"/>
      <c r="CU36" s="295"/>
      <c r="CV36" s="295"/>
      <c r="CW36" s="295"/>
      <c r="CX36" s="295"/>
      <c r="CY36" s="295"/>
      <c r="CZ36" s="295"/>
      <c r="DA36" s="295"/>
      <c r="DB36" s="295"/>
      <c r="DC36" s="295"/>
      <c r="DD36" s="295"/>
      <c r="DE36" s="295"/>
      <c r="DF36" s="295"/>
      <c r="DG36" s="295"/>
    </row>
    <row r="37" spans="1:111" s="202" customFormat="1" ht="15" customHeight="1">
      <c r="A37" s="290"/>
      <c r="B37" s="290"/>
      <c r="C37" s="288" t="s">
        <v>167</v>
      </c>
      <c r="D37" s="765" t="s">
        <v>596</v>
      </c>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5"/>
      <c r="AN37" s="765"/>
      <c r="AO37" s="765"/>
      <c r="AP37" s="765"/>
      <c r="AQ37" s="765"/>
      <c r="AR37" s="765"/>
      <c r="AS37" s="765"/>
      <c r="AT37" s="765"/>
      <c r="AU37" s="765"/>
      <c r="AV37" s="765"/>
      <c r="AW37" s="765"/>
      <c r="AX37" s="765"/>
      <c r="AY37" s="407"/>
      <c r="AZ37" s="297" t="s">
        <v>203</v>
      </c>
      <c r="BA37" s="409" t="s">
        <v>271</v>
      </c>
      <c r="BB37" s="101"/>
      <c r="BC37" s="82" t="str">
        <f>IF(OR(ISBLANK(F8),ISBLANK(F9),ISBLANK(F10)),"N/A",IF((BC35=BC36),"ok","&lt;&gt;"))</f>
        <v>N/A</v>
      </c>
      <c r="BD37" s="82"/>
      <c r="BE37" s="82" t="str">
        <f>IF(OR(ISBLANK(H8),ISBLANK(H9),ISBLANK(H10)),"N/A",IF((BE35=BE36),"ok","&lt;&gt;"))</f>
        <v>N/A</v>
      </c>
      <c r="BF37" s="82"/>
      <c r="BG37" s="82" t="str">
        <f>IF(OR(ISBLANK(J8),ISBLANK(J9),ISBLANK(J10)),"N/A",IF((BG35=BG36),"ok","&lt;&gt;"))</f>
        <v>N/A</v>
      </c>
      <c r="BH37" s="82"/>
      <c r="BI37" s="82" t="str">
        <f>IF(OR(ISBLANK(L8),ISBLANK(L9),ISBLANK(L10)),"N/A",IF((BI35=BI36),"ok","&lt;&gt;"))</f>
        <v>N/A</v>
      </c>
      <c r="BJ37" s="82"/>
      <c r="BK37" s="82" t="str">
        <f>IF(OR(ISBLANK(N8),ISBLANK(N9),ISBLANK(N10)),"N/A",IF((BK35=BK36),"ok","&lt;&gt;"))</f>
        <v>N/A</v>
      </c>
      <c r="BL37" s="82"/>
      <c r="BM37" s="82" t="str">
        <f>IF(OR(ISBLANK(P8),ISBLANK(P9),ISBLANK(P10)),"N/A",IF((BM35=BM36),"ok","&lt;&gt;"))</f>
        <v>N/A</v>
      </c>
      <c r="BN37" s="82"/>
      <c r="BO37" s="82" t="str">
        <f>IF(OR(ISBLANK(R8),ISBLANK(R9),ISBLANK(R10)),"N/A",IF((BO35=BO36),"ok","&lt;&gt;"))</f>
        <v>N/A</v>
      </c>
      <c r="BP37" s="82"/>
      <c r="BQ37" s="82" t="str">
        <f>IF(OR(ISBLANK(T8),ISBLANK(T9),ISBLANK(T10)),"N/A",IF((BQ35=BQ36),"ok","&lt;&gt;"))</f>
        <v>N/A</v>
      </c>
      <c r="BR37" s="82"/>
      <c r="BS37" s="82" t="str">
        <f>IF(OR(ISBLANK(V8),ISBLANK(V9),ISBLANK(V10)),"N/A",IF((BS35=BS36),"ok","&lt;&gt;"))</f>
        <v>N/A</v>
      </c>
      <c r="BT37" s="82"/>
      <c r="BU37" s="82" t="str">
        <f>IF(OR(ISBLANK(X8),ISBLANK(X9),ISBLANK(X10)),"N/A",IF((BU35=BU36),"ok","&lt;&gt;"))</f>
        <v>N/A</v>
      </c>
      <c r="BV37" s="82"/>
      <c r="BW37" s="82" t="str">
        <f>IF(OR(ISBLANK(Z8),ISBLANK(Z9),ISBLANK(Z10)),"N/A",IF((BW35=BW36),"ok","&lt;&gt;"))</f>
        <v>N/A</v>
      </c>
      <c r="BX37" s="82"/>
      <c r="BY37" s="82" t="str">
        <f>IF(OR(ISBLANK(AB8),ISBLANK(AB9),ISBLANK(AB10)),"N/A",IF((BY35=BY36),"ok","&lt;&gt;"))</f>
        <v>N/A</v>
      </c>
      <c r="BZ37" s="82"/>
      <c r="CA37" s="82" t="str">
        <f>IF(OR(ISBLANK(AD8),ISBLANK(AD9),ISBLANK(AD10)),"N/A",IF((CA35=CA36),"ok","&lt;&gt;"))</f>
        <v>N/A</v>
      </c>
      <c r="CB37" s="82"/>
      <c r="CC37" s="82" t="str">
        <f>IF(OR(ISBLANK(AF8),ISBLANK(AF9),ISBLANK(AF10)),"N/A",IF((CC35=CC36),"ok","&lt;&gt;"))</f>
        <v>N/A</v>
      </c>
      <c r="CD37" s="82"/>
      <c r="CE37" s="82" t="str">
        <f>IF(OR(ISBLANK(AH8),ISBLANK(AH9),ISBLANK(AH10)),"N/A",IF((CE35=CE36),"ok","&lt;&gt;"))</f>
        <v>N/A</v>
      </c>
      <c r="CF37" s="82"/>
      <c r="CG37" s="82" t="str">
        <f>IF(OR(ISBLANK(AJ8),ISBLANK(AJ9),ISBLANK(AJ10)),"N/A",IF((CG35=CG36),"ok","&lt;&gt;"))</f>
        <v>N/A</v>
      </c>
      <c r="CH37" s="82"/>
      <c r="CI37" s="82" t="str">
        <f>IF(OR(ISBLANK(AL8),ISBLANK(AL9),ISBLANK(AL10)),"N/A",IF((CI35=CI36),"ok","&lt;&gt;"))</f>
        <v>N/A</v>
      </c>
      <c r="CJ37" s="82"/>
      <c r="CK37" s="82" t="str">
        <f>IF(OR(ISBLANK(AN8),ISBLANK(AN9),ISBLANK(AN10)),"N/A",IF((CK35=CK36),"ok","&lt;&gt;"))</f>
        <v>N/A</v>
      </c>
      <c r="CL37" s="82"/>
      <c r="CM37" s="82" t="str">
        <f>IF(OR(ISBLANK(AP8),ISBLANK(AP9),ISBLANK(AP10)),"N/A",IF((CM35=CM36),"ok","&lt;&gt;"))</f>
        <v>N/A</v>
      </c>
      <c r="CN37" s="82"/>
      <c r="CO37" s="82" t="str">
        <f>IF(OR(ISBLANK(AR8),ISBLANK(AR9),ISBLANK(AR10)),"N/A",IF((CO35=CO36),"ok","&lt;&gt;"))</f>
        <v>N/A</v>
      </c>
      <c r="CP37" s="82"/>
      <c r="CQ37" s="82" t="str">
        <f>IF(OR(ISBLANK(AT8),ISBLANK(AT9),ISBLANK(AT10)),"N/A",IF((CQ35=CQ36),"ok","&lt;&gt;"))</f>
        <v>N/A</v>
      </c>
      <c r="CR37" s="82"/>
      <c r="CS37" s="82" t="str">
        <f>IF(OR(ISBLANK(AV8),ISBLANK(AV9),ISBLANK(AV10)),"N/A",IF((CS35=CS36),"ok","&lt;&gt;"))</f>
        <v>N/A</v>
      </c>
      <c r="CT37" s="295"/>
      <c r="CU37" s="295"/>
      <c r="CV37" s="295"/>
      <c r="CW37" s="295"/>
      <c r="CX37" s="295"/>
      <c r="CY37" s="295"/>
      <c r="CZ37" s="295"/>
      <c r="DA37" s="295"/>
      <c r="DB37" s="295"/>
      <c r="DC37" s="295"/>
      <c r="DD37" s="295"/>
      <c r="DE37" s="295"/>
      <c r="DF37" s="295"/>
      <c r="DG37" s="295"/>
    </row>
    <row r="38" spans="1:97" s="390" customFormat="1" ht="19.5" customHeight="1">
      <c r="A38" s="221"/>
      <c r="B38" s="190"/>
      <c r="C38" s="577"/>
      <c r="D38" s="304"/>
      <c r="E38" s="785" t="str">
        <f>LEFT(D10,LEN(D10)-7)&amp;" (W2,3)"</f>
        <v>Freshwater abstracted (W2,3)</v>
      </c>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578"/>
      <c r="AD38" s="304"/>
      <c r="AE38" s="579"/>
      <c r="AF38" s="579"/>
      <c r="AG38" s="579"/>
      <c r="AH38" s="579"/>
      <c r="AI38" s="579"/>
      <c r="AJ38" s="579"/>
      <c r="AK38" s="579"/>
      <c r="AL38" s="579"/>
      <c r="AM38" s="579"/>
      <c r="AN38" s="579"/>
      <c r="AO38" s="579"/>
      <c r="AP38" s="579"/>
      <c r="AQ38" s="800"/>
      <c r="AR38" s="800"/>
      <c r="AS38" s="800"/>
      <c r="AT38" s="800"/>
      <c r="AU38" s="800"/>
      <c r="AV38" s="800"/>
      <c r="AW38" s="579"/>
      <c r="AX38" s="202"/>
      <c r="AY38" s="224"/>
      <c r="AZ38" s="388">
        <v>14</v>
      </c>
      <c r="BA38" s="478" t="s">
        <v>508</v>
      </c>
      <c r="BB38" s="101" t="s">
        <v>93</v>
      </c>
      <c r="BC38" s="85">
        <f>F22</f>
        <v>0</v>
      </c>
      <c r="BD38" s="85"/>
      <c r="BE38" s="85">
        <f>H22</f>
        <v>0</v>
      </c>
      <c r="BF38" s="85"/>
      <c r="BG38" s="85">
        <f>J22</f>
        <v>0</v>
      </c>
      <c r="BH38" s="85"/>
      <c r="BI38" s="85">
        <f>L22</f>
        <v>0</v>
      </c>
      <c r="BJ38" s="85"/>
      <c r="BK38" s="85">
        <f>N22</f>
        <v>0</v>
      </c>
      <c r="BL38" s="85"/>
      <c r="BM38" s="85">
        <f>P22</f>
        <v>0</v>
      </c>
      <c r="BN38" s="85"/>
      <c r="BO38" s="85">
        <f>R22</f>
        <v>0</v>
      </c>
      <c r="BP38" s="85"/>
      <c r="BQ38" s="85">
        <f>T22</f>
        <v>0</v>
      </c>
      <c r="BR38" s="85"/>
      <c r="BS38" s="85">
        <f>V22</f>
        <v>0</v>
      </c>
      <c r="BT38" s="85"/>
      <c r="BU38" s="85">
        <f>X22</f>
        <v>0</v>
      </c>
      <c r="BV38" s="85"/>
      <c r="BW38" s="85">
        <f>Z22</f>
        <v>0</v>
      </c>
      <c r="BX38" s="85"/>
      <c r="BY38" s="85">
        <f>AB22</f>
        <v>0</v>
      </c>
      <c r="BZ38" s="85"/>
      <c r="CA38" s="85">
        <f>AD22</f>
        <v>0</v>
      </c>
      <c r="CB38" s="85"/>
      <c r="CC38" s="85">
        <f>AF22</f>
        <v>0</v>
      </c>
      <c r="CD38" s="85"/>
      <c r="CE38" s="85">
        <f>AH22</f>
        <v>0</v>
      </c>
      <c r="CF38" s="85"/>
      <c r="CG38" s="85">
        <f>AJ22</f>
        <v>0</v>
      </c>
      <c r="CH38" s="85"/>
      <c r="CI38" s="85">
        <f>AL22</f>
        <v>0</v>
      </c>
      <c r="CJ38" s="85"/>
      <c r="CK38" s="85">
        <f>AN22</f>
        <v>0</v>
      </c>
      <c r="CL38" s="85"/>
      <c r="CM38" s="85">
        <f>AP22</f>
        <v>0</v>
      </c>
      <c r="CN38" s="85"/>
      <c r="CO38" s="85">
        <f>AR22</f>
        <v>0</v>
      </c>
      <c r="CP38" s="85"/>
      <c r="CQ38" s="85">
        <f>AT22</f>
        <v>0</v>
      </c>
      <c r="CR38" s="85"/>
      <c r="CS38" s="85">
        <f>AV22</f>
        <v>0</v>
      </c>
    </row>
    <row r="39" spans="3:97" ht="15" customHeight="1">
      <c r="C39" s="577"/>
      <c r="D39" s="580" t="str">
        <f>D11</f>
        <v>of which abstracted by:</v>
      </c>
      <c r="E39" s="581"/>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582"/>
      <c r="AD39" s="582"/>
      <c r="AE39" s="579"/>
      <c r="AF39" s="579"/>
      <c r="AG39" s="579"/>
      <c r="AH39" s="579"/>
      <c r="AI39" s="579"/>
      <c r="AJ39" s="579"/>
      <c r="AK39" s="579"/>
      <c r="AL39" s="579"/>
      <c r="AM39" s="579"/>
      <c r="AN39" s="579"/>
      <c r="AO39" s="579"/>
      <c r="AP39" s="583"/>
      <c r="AQ39" s="785" t="str">
        <f>D26&amp;" (W2,17)"</f>
        <v>    Households  (W2,17)</v>
      </c>
      <c r="AR39" s="786"/>
      <c r="AS39" s="786"/>
      <c r="AT39" s="786"/>
      <c r="AU39" s="786"/>
      <c r="AV39" s="786"/>
      <c r="AW39" s="787"/>
      <c r="AX39" s="202"/>
      <c r="AZ39" s="311">
        <v>24</v>
      </c>
      <c r="BA39" s="409" t="s">
        <v>272</v>
      </c>
      <c r="BB39" s="101" t="s">
        <v>93</v>
      </c>
      <c r="BC39" s="85">
        <f>F10+F18+F19+F20-F21</f>
        <v>0</v>
      </c>
      <c r="BD39" s="85"/>
      <c r="BE39" s="85">
        <f>H10+H18+H19+H20-H21</f>
        <v>0</v>
      </c>
      <c r="BF39" s="85"/>
      <c r="BG39" s="85">
        <f>J10+J18+J19+J20-J21</f>
        <v>0</v>
      </c>
      <c r="BH39" s="85"/>
      <c r="BI39" s="85">
        <f>L10+L18+L19+L20-L21</f>
        <v>0</v>
      </c>
      <c r="BJ39" s="85"/>
      <c r="BK39" s="85">
        <f>N10+N18+N19+N20-N21</f>
        <v>0</v>
      </c>
      <c r="BL39" s="85"/>
      <c r="BM39" s="85">
        <f>P10+P18+P19+P20-P21</f>
        <v>0</v>
      </c>
      <c r="BN39" s="85"/>
      <c r="BO39" s="85">
        <f>R10+R18+R19+R20-R21</f>
        <v>0</v>
      </c>
      <c r="BP39" s="85"/>
      <c r="BQ39" s="85">
        <f>T10+T18+T19+T20-T21</f>
        <v>0</v>
      </c>
      <c r="BR39" s="85"/>
      <c r="BS39" s="85">
        <f>V10+V18+V19+V20-V21</f>
        <v>0</v>
      </c>
      <c r="BT39" s="85"/>
      <c r="BU39" s="85">
        <f>X10+X18+X19+X20-X21</f>
        <v>0</v>
      </c>
      <c r="BV39" s="85"/>
      <c r="BW39" s="85">
        <f>Z10+Z18+Z19+Z20-Z21</f>
        <v>0</v>
      </c>
      <c r="BX39" s="85"/>
      <c r="BY39" s="85">
        <f>AB10+AB18+AB19+AB20-AB21</f>
        <v>0</v>
      </c>
      <c r="BZ39" s="85"/>
      <c r="CA39" s="85">
        <f>AD10+AD18+AD19+AD20-AD21</f>
        <v>0</v>
      </c>
      <c r="CB39" s="85"/>
      <c r="CC39" s="85">
        <f>AF10+AF18+AF19+AF20-AF21</f>
        <v>0</v>
      </c>
      <c r="CD39" s="85"/>
      <c r="CE39" s="85">
        <f>AH10+AH18+AH19+AH20-AH21</f>
        <v>0</v>
      </c>
      <c r="CF39" s="85"/>
      <c r="CG39" s="85">
        <f>AJ10+AJ18+AJ19+AJ20-AJ21</f>
        <v>0</v>
      </c>
      <c r="CH39" s="85"/>
      <c r="CI39" s="85">
        <f>AL10+AL18+AL19+AL20-AL21</f>
        <v>0</v>
      </c>
      <c r="CJ39" s="85"/>
      <c r="CK39" s="85">
        <f>AN10+AN18+AN19+AN20-AN21</f>
        <v>0</v>
      </c>
      <c r="CL39" s="85"/>
      <c r="CM39" s="85">
        <f>AP10+AP18+AP19+AP20-AP21</f>
        <v>0</v>
      </c>
      <c r="CN39" s="85"/>
      <c r="CO39" s="85">
        <f>AR10+AR18+AR19+AR20-AR21</f>
        <v>0</v>
      </c>
      <c r="CP39" s="85"/>
      <c r="CQ39" s="85">
        <f>AT10+AT18+AT19+AT20-AT21</f>
        <v>0</v>
      </c>
      <c r="CR39" s="85"/>
      <c r="CS39" s="85">
        <f>AV10+AV18+AV19+AV20-AV21</f>
        <v>0</v>
      </c>
    </row>
    <row r="40" spans="3:97" ht="15" customHeight="1">
      <c r="C40" s="577"/>
      <c r="D40" s="576" t="str">
        <f>D12&amp;" (W2,4)"</f>
        <v>Water supply industry (ISIC 36) (W2,4)</v>
      </c>
      <c r="E40" s="584"/>
      <c r="F40" s="579"/>
      <c r="G40" s="579"/>
      <c r="H40" s="579"/>
      <c r="I40" s="579"/>
      <c r="J40" s="579"/>
      <c r="K40" s="579"/>
      <c r="L40" s="579"/>
      <c r="M40" s="579"/>
      <c r="N40" s="579"/>
      <c r="O40" s="579"/>
      <c r="P40" s="579"/>
      <c r="Q40" s="579"/>
      <c r="R40" s="579"/>
      <c r="S40" s="579"/>
      <c r="T40" s="579"/>
      <c r="U40" s="579"/>
      <c r="V40" s="579"/>
      <c r="W40" s="579"/>
      <c r="X40" s="579"/>
      <c r="Y40" s="579"/>
      <c r="Z40" s="776" t="str">
        <f>D18&amp;" (W2,10)"</f>
        <v>Desalinated water (W2,10)</v>
      </c>
      <c r="AA40" s="777"/>
      <c r="AB40" s="778"/>
      <c r="AC40" s="579"/>
      <c r="AD40" s="579"/>
      <c r="AE40" s="776" t="str">
        <f>LEFT(D22,LEN(D22)-16)&amp;" (W2,14)"</f>
        <v>Total freshwater available for use  (W2,14)</v>
      </c>
      <c r="AF40" s="777"/>
      <c r="AG40" s="777"/>
      <c r="AH40" s="778"/>
      <c r="AI40" s="579"/>
      <c r="AJ40" s="579"/>
      <c r="AK40" s="776" t="str">
        <f>LEFT(D24,LEN(D24)-8)&amp;" (W2,16)"</f>
        <v>Total freshwater use  (W2,16)</v>
      </c>
      <c r="AL40" s="777"/>
      <c r="AM40" s="778"/>
      <c r="AN40" s="579"/>
      <c r="AO40" s="579"/>
      <c r="AP40" s="579"/>
      <c r="AQ40" s="585"/>
      <c r="AR40" s="585"/>
      <c r="AS40" s="585"/>
      <c r="AT40" s="585"/>
      <c r="AU40" s="585"/>
      <c r="AV40" s="585"/>
      <c r="AW40" s="585"/>
      <c r="AX40" s="202"/>
      <c r="AZ40" s="297" t="s">
        <v>203</v>
      </c>
      <c r="BA40" s="409" t="s">
        <v>273</v>
      </c>
      <c r="BB40" s="101"/>
      <c r="BC40" s="82" t="str">
        <f>IF(OR(ISBLANK(F10),ISBLANK(F18),ISBLANK(F19),ISBLANK(F20),ISBLANK(F21),ISBLANK(F22)),"N/A",IF((BC38=BC39),"ok","&lt;&gt;"))</f>
        <v>N/A</v>
      </c>
      <c r="BD40" s="82"/>
      <c r="BE40" s="82" t="str">
        <f>IF(OR(ISBLANK(H10),ISBLANK(H18),ISBLANK(H19),ISBLANK(H20),ISBLANK(H21),ISBLANK(H22)),"N/A",IF((BE38=BE39),"ok","&lt;&gt;"))</f>
        <v>N/A</v>
      </c>
      <c r="BF40" s="82"/>
      <c r="BG40" s="82" t="str">
        <f>IF(OR(ISBLANK(J10),ISBLANK(J18),ISBLANK(J19),ISBLANK(J20),ISBLANK(J21),ISBLANK(J22)),"N/A",IF((BG38=BG39),"ok","&lt;&gt;"))</f>
        <v>N/A</v>
      </c>
      <c r="BH40" s="82"/>
      <c r="BI40" s="82" t="str">
        <f>IF(OR(ISBLANK(L10),ISBLANK(L18),ISBLANK(L19),ISBLANK(L20),ISBLANK(L21),ISBLANK(L22)),"N/A",IF((BI38=BI39),"ok","&lt;&gt;"))</f>
        <v>N/A</v>
      </c>
      <c r="BJ40" s="82"/>
      <c r="BK40" s="82" t="str">
        <f>IF(OR(ISBLANK(N10),ISBLANK(N18),ISBLANK(N19),ISBLANK(N20),ISBLANK(N21),ISBLANK(N22)),"N/A",IF((BK38=BK39),"ok","&lt;&gt;"))</f>
        <v>N/A</v>
      </c>
      <c r="BL40" s="82"/>
      <c r="BM40" s="82" t="str">
        <f>IF(OR(ISBLANK(P10),ISBLANK(P18),ISBLANK(P19),ISBLANK(P20),ISBLANK(P21),ISBLANK(P22)),"N/A",IF((BM38=BM39),"ok","&lt;&gt;"))</f>
        <v>N/A</v>
      </c>
      <c r="BN40" s="82"/>
      <c r="BO40" s="82" t="str">
        <f>IF(OR(ISBLANK(R10),ISBLANK(R18),ISBLANK(R19),ISBLANK(R20),ISBLANK(R21),ISBLANK(R22)),"N/A",IF((BO38=BO39),"ok","&lt;&gt;"))</f>
        <v>N/A</v>
      </c>
      <c r="BP40" s="82"/>
      <c r="BQ40" s="82" t="str">
        <f>IF(OR(ISBLANK(T10),ISBLANK(T18),ISBLANK(T19),ISBLANK(T20),ISBLANK(T21),ISBLANK(T22)),"N/A",IF((BQ38=BQ39),"ok","&lt;&gt;"))</f>
        <v>N/A</v>
      </c>
      <c r="BR40" s="82"/>
      <c r="BS40" s="82" t="str">
        <f>IF(OR(ISBLANK(V10),ISBLANK(V18),ISBLANK(V19),ISBLANK(V20),ISBLANK(V21),ISBLANK(V22)),"N/A",IF((BS38=BS39),"ok","&lt;&gt;"))</f>
        <v>N/A</v>
      </c>
      <c r="BT40" s="82"/>
      <c r="BU40" s="82" t="str">
        <f>IF(OR(ISBLANK(X10),ISBLANK(X18),ISBLANK(X19),ISBLANK(X20),ISBLANK(X21),ISBLANK(X22)),"N/A",IF((BU38=BU39),"ok","&lt;&gt;"))</f>
        <v>N/A</v>
      </c>
      <c r="BV40" s="82"/>
      <c r="BW40" s="82" t="str">
        <f>IF(OR(ISBLANK(Z10),ISBLANK(Z18),ISBLANK(Z19),ISBLANK(Z20),ISBLANK(Z21),ISBLANK(Z22)),"N/A",IF((BW38=BW39),"ok","&lt;&gt;"))</f>
        <v>N/A</v>
      </c>
      <c r="BX40" s="82"/>
      <c r="BY40" s="82" t="str">
        <f>IF(OR(ISBLANK(AB10),ISBLANK(AB18),ISBLANK(AB19),ISBLANK(AB20),ISBLANK(AB21),ISBLANK(AB22)),"N/A",IF((BY38=BY39),"ok","&lt;&gt;"))</f>
        <v>N/A</v>
      </c>
      <c r="BZ40" s="82"/>
      <c r="CA40" s="82" t="str">
        <f>IF(OR(ISBLANK(AD10),ISBLANK(AD18),ISBLANK(AD19),ISBLANK(AD20),ISBLANK(AD21),ISBLANK(AD22)),"N/A",IF((CA38=CA39),"ok","&lt;&gt;"))</f>
        <v>N/A</v>
      </c>
      <c r="CB40" s="82"/>
      <c r="CC40" s="82" t="str">
        <f>IF(OR(ISBLANK(AF10),ISBLANK(AF18),ISBLANK(AF19),ISBLANK(AF20),ISBLANK(AF21),ISBLANK(AF22)),"N/A",IF((CC38=CC39),"ok","&lt;&gt;"))</f>
        <v>N/A</v>
      </c>
      <c r="CD40" s="82"/>
      <c r="CE40" s="82" t="str">
        <f>IF(OR(ISBLANK(AH10),ISBLANK(AH18),ISBLANK(AH19),ISBLANK(AH20),ISBLANK(AH21),ISBLANK(AH22)),"N/A",IF((CE38=CE39),"ok","&lt;&gt;"))</f>
        <v>N/A</v>
      </c>
      <c r="CF40" s="82"/>
      <c r="CG40" s="82" t="str">
        <f>IF(OR(ISBLANK(AJ10),ISBLANK(AJ18),ISBLANK(AJ19),ISBLANK(AJ20),ISBLANK(AJ21),ISBLANK(AJ22)),"N/A",IF((CG38=CG39),"ok","&lt;&gt;"))</f>
        <v>N/A</v>
      </c>
      <c r="CH40" s="82"/>
      <c r="CI40" s="82" t="str">
        <f>IF(OR(ISBLANK(AL10),ISBLANK(AL18),ISBLANK(AL19),ISBLANK(AL20),ISBLANK(AL21),ISBLANK(AL22)),"N/A",IF((CI38=CI39),"ok","&lt;&gt;"))</f>
        <v>N/A</v>
      </c>
      <c r="CJ40" s="82"/>
      <c r="CK40" s="82" t="str">
        <f>IF(OR(ISBLANK(AN10),ISBLANK(AN18),ISBLANK(AN19),ISBLANK(AN20),ISBLANK(AN21),ISBLANK(AN22)),"N/A",IF((CK38=CK39),"ok","&lt;&gt;"))</f>
        <v>N/A</v>
      </c>
      <c r="CL40" s="82"/>
      <c r="CM40" s="82" t="str">
        <f>IF(OR(ISBLANK(AP10),ISBLANK(AP18),ISBLANK(AP19),ISBLANK(AP20),ISBLANK(AP21),ISBLANK(AP22)),"N/A",IF((CM38=CM39),"ok","&lt;&gt;"))</f>
        <v>N/A</v>
      </c>
      <c r="CN40" s="82"/>
      <c r="CO40" s="82" t="str">
        <f>IF(OR(ISBLANK(AR10),ISBLANK(AR18),ISBLANK(AR19),ISBLANK(AR20),ISBLANK(AR21),ISBLANK(AR22)),"N/A",IF((CO38=CO39),"ok","&lt;&gt;"))</f>
        <v>N/A</v>
      </c>
      <c r="CP40" s="82"/>
      <c r="CQ40" s="82" t="str">
        <f>IF(OR(ISBLANK(AT10),ISBLANK(AT18),ISBLANK(AT19),ISBLANK(AT20),ISBLANK(AT21),ISBLANK(AT22)),"N/A",IF((CQ38=CQ39),"ok","&lt;&gt;"))</f>
        <v>N/A</v>
      </c>
      <c r="CR40" s="82"/>
      <c r="CS40" s="82" t="str">
        <f>IF(OR(ISBLANK(AV10),ISBLANK(AV18),ISBLANK(AV19),ISBLANK(AV20),ISBLANK(AV21),ISBLANK(AV22)),"N/A",IF((CS38=CS39),"ok","&lt;&gt;"))</f>
        <v>N/A</v>
      </c>
    </row>
    <row r="41" spans="2:97" ht="19.5" customHeight="1">
      <c r="B41" s="574"/>
      <c r="C41" s="585"/>
      <c r="D41" s="586"/>
      <c r="E41" s="579"/>
      <c r="F41" s="579"/>
      <c r="G41" s="579"/>
      <c r="H41" s="579"/>
      <c r="I41" s="579"/>
      <c r="J41" s="579"/>
      <c r="K41" s="579"/>
      <c r="L41" s="579"/>
      <c r="M41" s="579"/>
      <c r="N41" s="579"/>
      <c r="O41" s="579"/>
      <c r="P41" s="579"/>
      <c r="Q41" s="579"/>
      <c r="R41" s="579"/>
      <c r="S41" s="579"/>
      <c r="T41" s="579"/>
      <c r="U41" s="579"/>
      <c r="V41" s="579"/>
      <c r="W41" s="579"/>
      <c r="X41" s="579"/>
      <c r="Y41" s="579"/>
      <c r="Z41" s="779"/>
      <c r="AA41" s="780"/>
      <c r="AB41" s="781"/>
      <c r="AC41" s="579"/>
      <c r="AD41" s="579"/>
      <c r="AE41" s="779"/>
      <c r="AF41" s="780"/>
      <c r="AG41" s="780"/>
      <c r="AH41" s="781"/>
      <c r="AI41" s="579"/>
      <c r="AJ41" s="579"/>
      <c r="AK41" s="779"/>
      <c r="AL41" s="780"/>
      <c r="AM41" s="781"/>
      <c r="AN41" s="579"/>
      <c r="AO41" s="579"/>
      <c r="AP41" s="579"/>
      <c r="AQ41" s="776" t="str">
        <f>D27&amp;" (W2,18)"</f>
        <v>    Agriculture, forestry and fishing (ISIC 01-03) (W2,18)</v>
      </c>
      <c r="AR41" s="777"/>
      <c r="AS41" s="777"/>
      <c r="AT41" s="777"/>
      <c r="AU41" s="777"/>
      <c r="AV41" s="777"/>
      <c r="AW41" s="778"/>
      <c r="AZ41" s="388">
        <v>3</v>
      </c>
      <c r="BA41" s="595" t="s">
        <v>212</v>
      </c>
      <c r="BB41" s="101" t="s">
        <v>93</v>
      </c>
      <c r="BC41" s="82">
        <f>F10</f>
        <v>0</v>
      </c>
      <c r="BD41" s="82"/>
      <c r="BE41" s="82">
        <f>H10</f>
        <v>0</v>
      </c>
      <c r="BF41" s="82"/>
      <c r="BG41" s="82">
        <f>J10</f>
        <v>0</v>
      </c>
      <c r="BH41" s="82"/>
      <c r="BI41" s="82">
        <f>L10</f>
        <v>0</v>
      </c>
      <c r="BJ41" s="82"/>
      <c r="BK41" s="82">
        <f>N10</f>
        <v>0</v>
      </c>
      <c r="BL41" s="82"/>
      <c r="BM41" s="82">
        <f>P10</f>
        <v>0</v>
      </c>
      <c r="BN41" s="82"/>
      <c r="BO41" s="82">
        <f>R10</f>
        <v>0</v>
      </c>
      <c r="BP41" s="82"/>
      <c r="BQ41" s="82">
        <f>T10</f>
        <v>0</v>
      </c>
      <c r="BR41" s="82"/>
      <c r="BS41" s="82">
        <f>V10</f>
        <v>0</v>
      </c>
      <c r="BT41" s="82"/>
      <c r="BU41" s="82">
        <f>X10</f>
        <v>0</v>
      </c>
      <c r="BV41" s="82"/>
      <c r="BW41" s="82">
        <f>Z10</f>
        <v>0</v>
      </c>
      <c r="BX41" s="82"/>
      <c r="BY41" s="82">
        <f>AB10</f>
        <v>0</v>
      </c>
      <c r="BZ41" s="82"/>
      <c r="CA41" s="82">
        <f>AD10</f>
        <v>0</v>
      </c>
      <c r="CB41" s="82"/>
      <c r="CC41" s="82">
        <f>AF10</f>
        <v>0</v>
      </c>
      <c r="CD41" s="82"/>
      <c r="CE41" s="82">
        <f>AH10</f>
        <v>0</v>
      </c>
      <c r="CF41" s="82"/>
      <c r="CG41" s="82">
        <f>AJ10</f>
        <v>0</v>
      </c>
      <c r="CH41" s="82"/>
      <c r="CI41" s="82">
        <f>AL10</f>
        <v>0</v>
      </c>
      <c r="CJ41" s="82"/>
      <c r="CK41" s="82">
        <f>AN10</f>
        <v>0</v>
      </c>
      <c r="CL41" s="82"/>
      <c r="CM41" s="82">
        <f>AP10</f>
        <v>0</v>
      </c>
      <c r="CN41" s="82"/>
      <c r="CO41" s="82">
        <f>AR10</f>
        <v>0</v>
      </c>
      <c r="CP41" s="82"/>
      <c r="CQ41" s="82">
        <f>AT10</f>
        <v>0</v>
      </c>
      <c r="CR41" s="82"/>
      <c r="CS41" s="82">
        <f>AV10</f>
        <v>0</v>
      </c>
    </row>
    <row r="42" spans="3:97" ht="15" customHeight="1">
      <c r="C42" s="585"/>
      <c r="D42" s="576" t="str">
        <f>D13&amp;" (W2,5)"</f>
        <v>Households  (W2,5)</v>
      </c>
      <c r="E42" s="579"/>
      <c r="F42" s="579"/>
      <c r="G42" s="579"/>
      <c r="H42" s="579"/>
      <c r="I42" s="579"/>
      <c r="J42" s="579"/>
      <c r="K42" s="579"/>
      <c r="L42" s="579"/>
      <c r="M42" s="579"/>
      <c r="N42" s="579"/>
      <c r="O42" s="579"/>
      <c r="P42" s="579"/>
      <c r="Q42" s="579"/>
      <c r="R42" s="579"/>
      <c r="S42" s="579"/>
      <c r="T42" s="579"/>
      <c r="U42" s="579"/>
      <c r="V42" s="579"/>
      <c r="W42" s="579"/>
      <c r="X42" s="579"/>
      <c r="Y42" s="579"/>
      <c r="Z42" s="782"/>
      <c r="AA42" s="783"/>
      <c r="AB42" s="784"/>
      <c r="AC42" s="583"/>
      <c r="AD42" s="579"/>
      <c r="AE42" s="779"/>
      <c r="AF42" s="780"/>
      <c r="AG42" s="780"/>
      <c r="AH42" s="781"/>
      <c r="AI42" s="579"/>
      <c r="AJ42" s="579"/>
      <c r="AK42" s="779"/>
      <c r="AL42" s="780"/>
      <c r="AM42" s="781"/>
      <c r="AN42" s="816" t="s">
        <v>583</v>
      </c>
      <c r="AO42" s="817"/>
      <c r="AP42" s="579"/>
      <c r="AQ42" s="782"/>
      <c r="AR42" s="783"/>
      <c r="AS42" s="783"/>
      <c r="AT42" s="783"/>
      <c r="AU42" s="783"/>
      <c r="AV42" s="783"/>
      <c r="AW42" s="784"/>
      <c r="AZ42" s="311">
        <v>25</v>
      </c>
      <c r="BA42" s="409" t="s">
        <v>89</v>
      </c>
      <c r="BB42" s="101" t="s">
        <v>93</v>
      </c>
      <c r="BC42" s="85">
        <f>SUM(F12:F17)</f>
        <v>0</v>
      </c>
      <c r="BD42" s="85"/>
      <c r="BE42" s="85">
        <f>SUM(H12:H17)</f>
        <v>0</v>
      </c>
      <c r="BF42" s="85"/>
      <c r="BG42" s="85">
        <f>SUM(J12:J17)</f>
        <v>0</v>
      </c>
      <c r="BH42" s="85"/>
      <c r="BI42" s="85">
        <f>SUM(L12:L17)</f>
        <v>0</v>
      </c>
      <c r="BJ42" s="85"/>
      <c r="BK42" s="85">
        <f>SUM(N12:N17)</f>
        <v>0</v>
      </c>
      <c r="BL42" s="85"/>
      <c r="BM42" s="85">
        <f>SUM(P12:P17)</f>
        <v>0</v>
      </c>
      <c r="BN42" s="85"/>
      <c r="BO42" s="85">
        <f>SUM(R12:R17)</f>
        <v>0</v>
      </c>
      <c r="BP42" s="85"/>
      <c r="BQ42" s="85">
        <f>SUM(T12:T17)</f>
        <v>0</v>
      </c>
      <c r="BR42" s="85"/>
      <c r="BS42" s="85">
        <f>SUM(V12:V17)</f>
        <v>0</v>
      </c>
      <c r="BT42" s="85"/>
      <c r="BU42" s="85">
        <f>SUM(X12:X17)</f>
        <v>0</v>
      </c>
      <c r="BV42" s="85"/>
      <c r="BW42" s="85">
        <f>SUM(Z12:Z17)</f>
        <v>0</v>
      </c>
      <c r="BX42" s="85"/>
      <c r="BY42" s="85">
        <f>SUM(AB12:AB17)</f>
        <v>0</v>
      </c>
      <c r="BZ42" s="85"/>
      <c r="CA42" s="85">
        <f>SUM(AD12:AD17)</f>
        <v>0</v>
      </c>
      <c r="CB42" s="85"/>
      <c r="CC42" s="85">
        <f>SUM(AF12:AF17)</f>
        <v>0</v>
      </c>
      <c r="CD42" s="85"/>
      <c r="CE42" s="85">
        <f>SUM(AH12:AH17)</f>
        <v>0</v>
      </c>
      <c r="CF42" s="85"/>
      <c r="CG42" s="85">
        <f>SUM(AJ12:AJ17)</f>
        <v>0</v>
      </c>
      <c r="CH42" s="85"/>
      <c r="CI42" s="85">
        <f>SUM(AL12:AL17)</f>
        <v>0</v>
      </c>
      <c r="CJ42" s="85"/>
      <c r="CK42" s="85">
        <f>SUM(AN12:AN17)</f>
        <v>0</v>
      </c>
      <c r="CL42" s="85"/>
      <c r="CM42" s="85">
        <f>SUM(AP12:AP17)</f>
        <v>0</v>
      </c>
      <c r="CN42" s="85"/>
      <c r="CO42" s="85">
        <f>SUM(AR12:AR17)</f>
        <v>0</v>
      </c>
      <c r="CP42" s="85"/>
      <c r="CQ42" s="85">
        <f>SUM(AT12:AT17)</f>
        <v>0</v>
      </c>
      <c r="CR42" s="85"/>
      <c r="CS42" s="85">
        <f>SUM(AV12:AV17)</f>
        <v>0</v>
      </c>
    </row>
    <row r="43" spans="3:97" ht="15" customHeight="1">
      <c r="C43" s="585"/>
      <c r="D43" s="587"/>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779"/>
      <c r="AF43" s="780"/>
      <c r="AG43" s="780"/>
      <c r="AH43" s="781"/>
      <c r="AI43" s="579"/>
      <c r="AJ43" s="588"/>
      <c r="AK43" s="779"/>
      <c r="AL43" s="780"/>
      <c r="AM43" s="781"/>
      <c r="AN43" s="779"/>
      <c r="AO43" s="817"/>
      <c r="AP43" s="579"/>
      <c r="AQ43" s="579"/>
      <c r="AR43" s="579"/>
      <c r="AS43" s="579"/>
      <c r="AT43" s="579"/>
      <c r="AU43" s="579"/>
      <c r="AV43" s="579"/>
      <c r="AW43" s="579"/>
      <c r="AZ43" s="297" t="s">
        <v>203</v>
      </c>
      <c r="BA43" s="409" t="s">
        <v>53</v>
      </c>
      <c r="BB43" s="101"/>
      <c r="BC43" s="82" t="str">
        <f>IF(OR(ISBLANK(F10),ISBLANK(F12),ISBLANK(F13),ISBLANK(F14),ISBLANK(F15),ISBLANK(F16),ISBLANK(F17)),"N/A",IF(BC41=BC42,"ok","&lt;&gt;"))</f>
        <v>N/A</v>
      </c>
      <c r="BD43" s="82"/>
      <c r="BE43" s="82" t="str">
        <f>IF(OR(ISBLANK(H10),ISBLANK(H12),ISBLANK(H13),ISBLANK(H14),ISBLANK(H15),ISBLANK(H16),ISBLANK(H17)),"N/A",IF(BE41=BE42,"ok","&lt;&gt;"))</f>
        <v>N/A</v>
      </c>
      <c r="BF43" s="82"/>
      <c r="BG43" s="82" t="str">
        <f>IF(OR(ISBLANK(J10),ISBLANK(J12),ISBLANK(J13),ISBLANK(J14),ISBLANK(J15),ISBLANK(J16),ISBLANK(J17)),"N/A",IF(BG41=BG42,"ok","&lt;&gt;"))</f>
        <v>N/A</v>
      </c>
      <c r="BH43" s="82"/>
      <c r="BI43" s="82" t="str">
        <f>IF(OR(ISBLANK(L10),ISBLANK(L12),ISBLANK(L13),ISBLANK(L14),ISBLANK(L15),ISBLANK(L16),ISBLANK(L17)),"N/A",IF(BI41=BI42,"ok","&lt;&gt;"))</f>
        <v>N/A</v>
      </c>
      <c r="BJ43" s="82"/>
      <c r="BK43" s="82" t="str">
        <f>IF(OR(ISBLANK(N10),ISBLANK(N12),ISBLANK(N13),ISBLANK(N14),ISBLANK(N15),ISBLANK(N16),ISBLANK(N17)),"N/A",IF(BK41=BK42,"ok","&lt;&gt;"))</f>
        <v>N/A</v>
      </c>
      <c r="BL43" s="82"/>
      <c r="BM43" s="82" t="str">
        <f>IF(OR(ISBLANK(P10),ISBLANK(P12),ISBLANK(P13),ISBLANK(P14),ISBLANK(P15),ISBLANK(P16),ISBLANK(P17)),"N/A",IF(BM41=BM42,"ok","&lt;&gt;"))</f>
        <v>N/A</v>
      </c>
      <c r="BN43" s="82"/>
      <c r="BO43" s="82" t="str">
        <f>IF(OR(ISBLANK(R10),ISBLANK(R12),ISBLANK(R13),ISBLANK(R14),ISBLANK(R15),ISBLANK(R16),ISBLANK(R17)),"N/A",IF(BO41=BO42,"ok","&lt;&gt;"))</f>
        <v>N/A</v>
      </c>
      <c r="BP43" s="82"/>
      <c r="BQ43" s="82" t="str">
        <f>IF(OR(ISBLANK(T10),ISBLANK(T12),ISBLANK(T13),ISBLANK(T14),ISBLANK(T15),ISBLANK(T16),ISBLANK(T17)),"N/A",IF(BQ41=BQ42,"ok","&lt;&gt;"))</f>
        <v>N/A</v>
      </c>
      <c r="BR43" s="82"/>
      <c r="BS43" s="82" t="str">
        <f>IF(OR(ISBLANK(V10),ISBLANK(V12),ISBLANK(V13),ISBLANK(V14),ISBLANK(V15),ISBLANK(V16),ISBLANK(V17)),"N/A",IF(BS41=BS42,"ok","&lt;&gt;"))</f>
        <v>N/A</v>
      </c>
      <c r="BT43" s="82"/>
      <c r="BU43" s="82" t="str">
        <f>IF(OR(ISBLANK(X10),ISBLANK(X12),ISBLANK(X13),ISBLANK(X14),ISBLANK(X15),ISBLANK(X16),ISBLANK(X17)),"N/A",IF(BU41=BU42,"ok","&lt;&gt;"))</f>
        <v>N/A</v>
      </c>
      <c r="BV43" s="82"/>
      <c r="BW43" s="82" t="str">
        <f>IF(OR(ISBLANK(Z10),ISBLANK(Z12),ISBLANK(Z13),ISBLANK(Z14),ISBLANK(Z15),ISBLANK(Z16),ISBLANK(Z17)),"N/A",IF(BW41=BW42,"ok","&lt;&gt;"))</f>
        <v>N/A</v>
      </c>
      <c r="BX43" s="82"/>
      <c r="BY43" s="82" t="str">
        <f>IF(OR(ISBLANK(AB10),ISBLANK(AB12),ISBLANK(AB13),ISBLANK(AB14),ISBLANK(AB15),ISBLANK(AB16),ISBLANK(AB17)),"N/A",IF(BY41=BY42,"ok","&lt;&gt;"))</f>
        <v>N/A</v>
      </c>
      <c r="BZ43" s="82"/>
      <c r="CA43" s="82" t="str">
        <f>IF(OR(ISBLANK(AD10),ISBLANK(AD12),ISBLANK(AD13),ISBLANK(AD14),ISBLANK(AD15),ISBLANK(AD16),ISBLANK(AD17)),"N/A",IF(CA41=CA42,"ok","&lt;&gt;"))</f>
        <v>N/A</v>
      </c>
      <c r="CB43" s="82"/>
      <c r="CC43" s="82" t="str">
        <f>IF(OR(ISBLANK(AF10),ISBLANK(AF12),ISBLANK(AF13),ISBLANK(AF14),ISBLANK(AF15),ISBLANK(AF16),ISBLANK(AF17)),"N/A",IF(CC41=CC42,"ok","&lt;&gt;"))</f>
        <v>N/A</v>
      </c>
      <c r="CD43" s="82"/>
      <c r="CE43" s="82" t="str">
        <f>IF(OR(ISBLANK(AH10),ISBLANK(AH12),ISBLANK(AH13),ISBLANK(AH14),ISBLANK(AH15),ISBLANK(AH16),ISBLANK(AH17)),"N/A",IF(CE41=CE42,"ok","&lt;&gt;"))</f>
        <v>N/A</v>
      </c>
      <c r="CF43" s="82"/>
      <c r="CG43" s="82" t="str">
        <f>IF(OR(ISBLANK(AJ10),ISBLANK(AJ12),ISBLANK(AJ13),ISBLANK(AJ14),ISBLANK(AJ15),ISBLANK(AJ16),ISBLANK(AJ17)),"N/A",IF(CG41=CG42,"ok","&lt;&gt;"))</f>
        <v>N/A</v>
      </c>
      <c r="CH43" s="82"/>
      <c r="CI43" s="82" t="str">
        <f>IF(OR(ISBLANK(AL10),ISBLANK(AL12),ISBLANK(AL13),ISBLANK(AL14),ISBLANK(AL15),ISBLANK(AL16),ISBLANK(AL17)),"N/A",IF(CI41=CI42,"ok","&lt;&gt;"))</f>
        <v>N/A</v>
      </c>
      <c r="CJ43" s="82"/>
      <c r="CK43" s="82" t="str">
        <f>IF(OR(ISBLANK(AN10),ISBLANK(AN12),ISBLANK(AN13),ISBLANK(AN14),ISBLANK(AN15),ISBLANK(AN16),ISBLANK(AN17)),"N/A",IF(CK41=CK42,"ok","&lt;&gt;"))</f>
        <v>N/A</v>
      </c>
      <c r="CL43" s="82"/>
      <c r="CM43" s="82" t="str">
        <f>IF(OR(ISBLANK(AP10),ISBLANK(AP12),ISBLANK(AP13),ISBLANK(AP14),ISBLANK(AP15),ISBLANK(AP16),ISBLANK(AP17)),"N/A",IF(CM41=CM42,"ok","&lt;&gt;"))</f>
        <v>N/A</v>
      </c>
      <c r="CN43" s="82"/>
      <c r="CO43" s="82" t="str">
        <f>IF(OR(ISBLANK(AR10),ISBLANK(AR12),ISBLANK(AR13),ISBLANK(AR14),ISBLANK(AR15),ISBLANK(AR16),ISBLANK(AR17)),"N/A",IF(CO41=CO42,"ok","&lt;&gt;"))</f>
        <v>N/A</v>
      </c>
      <c r="CP43" s="82"/>
      <c r="CQ43" s="82" t="str">
        <f>IF(OR(ISBLANK(AT10),ISBLANK(AT12),ISBLANK(AT13),ISBLANK(AT14),ISBLANK(AT15),ISBLANK(AT16),ISBLANK(AT17)),"N/A",IF(CQ41=CQ42,"ok","&lt;&gt;"))</f>
        <v>N/A</v>
      </c>
      <c r="CR43" s="82"/>
      <c r="CS43" s="82" t="str">
        <f>IF(OR(ISBLANK(AV10),ISBLANK(AV12),ISBLANK(AV13),ISBLANK(AV14),ISBLANK(AV15),ISBLANK(AV16),ISBLANK(AV17)),"N/A",IF(CS41=CS42,"ok","&lt;&gt;"))</f>
        <v>N/A</v>
      </c>
    </row>
    <row r="44" spans="3:97" ht="20.25" customHeight="1">
      <c r="C44" s="585"/>
      <c r="D44" s="576" t="str">
        <f>D14&amp;" (W2,6)"</f>
        <v>Agriculture, forestry and fishing (ISIC 01-03) (W2,6)</v>
      </c>
      <c r="E44" s="579"/>
      <c r="F44" s="579"/>
      <c r="G44" s="579"/>
      <c r="H44" s="579"/>
      <c r="I44" s="579"/>
      <c r="J44" s="579"/>
      <c r="K44" s="579"/>
      <c r="L44" s="579"/>
      <c r="M44" s="579"/>
      <c r="N44" s="579"/>
      <c r="O44" s="579"/>
      <c r="P44" s="579"/>
      <c r="Q44" s="579"/>
      <c r="R44" s="579"/>
      <c r="S44" s="579"/>
      <c r="T44" s="579"/>
      <c r="U44" s="579"/>
      <c r="V44" s="579"/>
      <c r="W44" s="579"/>
      <c r="X44" s="579"/>
      <c r="Y44" s="579"/>
      <c r="Z44" s="785" t="str">
        <f>D19&amp;" (W2,11)"</f>
        <v>Reused water (W2,11)</v>
      </c>
      <c r="AA44" s="786"/>
      <c r="AB44" s="818"/>
      <c r="AC44" s="583"/>
      <c r="AD44" s="579"/>
      <c r="AE44" s="779"/>
      <c r="AF44" s="780"/>
      <c r="AG44" s="780"/>
      <c r="AH44" s="781"/>
      <c r="AI44" s="579"/>
      <c r="AJ44" s="588"/>
      <c r="AK44" s="779"/>
      <c r="AL44" s="780"/>
      <c r="AM44" s="781"/>
      <c r="AN44" s="589"/>
      <c r="AO44" s="590"/>
      <c r="AP44" s="579"/>
      <c r="AQ44" s="785" t="str">
        <f>D29&amp;" (W2,20)"</f>
        <v>    Manufacturing (ISIC 10-33) (W2,20)</v>
      </c>
      <c r="AR44" s="786"/>
      <c r="AS44" s="786"/>
      <c r="AT44" s="786"/>
      <c r="AU44" s="786"/>
      <c r="AV44" s="786"/>
      <c r="AW44" s="787"/>
      <c r="AZ44" s="388">
        <v>16</v>
      </c>
      <c r="BA44" s="595" t="s">
        <v>509</v>
      </c>
      <c r="BB44" s="101" t="s">
        <v>93</v>
      </c>
      <c r="BC44" s="85">
        <f>F24</f>
        <v>0</v>
      </c>
      <c r="BD44" s="85"/>
      <c r="BE44" s="85">
        <f>H24</f>
        <v>0</v>
      </c>
      <c r="BF44" s="85"/>
      <c r="BG44" s="85">
        <f>J24</f>
        <v>0</v>
      </c>
      <c r="BH44" s="85"/>
      <c r="BI44" s="85">
        <f>L24</f>
        <v>0</v>
      </c>
      <c r="BJ44" s="85"/>
      <c r="BK44" s="85">
        <f>N24</f>
        <v>0</v>
      </c>
      <c r="BL44" s="85"/>
      <c r="BM44" s="85">
        <f>P24</f>
        <v>0</v>
      </c>
      <c r="BN44" s="85"/>
      <c r="BO44" s="85">
        <f>R24</f>
        <v>0</v>
      </c>
      <c r="BP44" s="85"/>
      <c r="BQ44" s="85">
        <f>T24</f>
        <v>0</v>
      </c>
      <c r="BR44" s="85"/>
      <c r="BS44" s="85">
        <f>V24</f>
        <v>0</v>
      </c>
      <c r="BT44" s="85"/>
      <c r="BU44" s="85">
        <f>X24</f>
        <v>0</v>
      </c>
      <c r="BV44" s="85"/>
      <c r="BW44" s="85">
        <f>Z24</f>
        <v>0</v>
      </c>
      <c r="BX44" s="85"/>
      <c r="BY44" s="85">
        <f>AB24</f>
        <v>0</v>
      </c>
      <c r="BZ44" s="85"/>
      <c r="CA44" s="85">
        <f>AD24</f>
        <v>0</v>
      </c>
      <c r="CB44" s="85"/>
      <c r="CC44" s="85">
        <f>AF24</f>
        <v>0</v>
      </c>
      <c r="CD44" s="85"/>
      <c r="CE44" s="85">
        <f>AH24</f>
        <v>0</v>
      </c>
      <c r="CF44" s="85"/>
      <c r="CG44" s="85">
        <f>AJ24</f>
        <v>0</v>
      </c>
      <c r="CH44" s="85"/>
      <c r="CI44" s="85">
        <f>AL24</f>
        <v>0</v>
      </c>
      <c r="CJ44" s="85"/>
      <c r="CK44" s="85">
        <f>AN24</f>
        <v>0</v>
      </c>
      <c r="CL44" s="85"/>
      <c r="CM44" s="85">
        <f>AP24</f>
        <v>0</v>
      </c>
      <c r="CN44" s="85"/>
      <c r="CO44" s="85">
        <f>AR24</f>
        <v>0</v>
      </c>
      <c r="CP44" s="85"/>
      <c r="CQ44" s="85">
        <f>AT24</f>
        <v>0</v>
      </c>
      <c r="CR44" s="85"/>
      <c r="CS44" s="85">
        <f>AV24</f>
        <v>0</v>
      </c>
    </row>
    <row r="45" spans="3:97" ht="10.5" customHeight="1">
      <c r="C45" s="585"/>
      <c r="D45" s="591"/>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782"/>
      <c r="AF45" s="783"/>
      <c r="AG45" s="783"/>
      <c r="AH45" s="784"/>
      <c r="AI45" s="579"/>
      <c r="AJ45" s="579"/>
      <c r="AK45" s="782"/>
      <c r="AL45" s="783"/>
      <c r="AM45" s="784"/>
      <c r="AN45" s="579"/>
      <c r="AO45" s="579"/>
      <c r="AP45" s="579"/>
      <c r="AQ45" s="579"/>
      <c r="AR45" s="579"/>
      <c r="AS45" s="579"/>
      <c r="AT45" s="579"/>
      <c r="AU45" s="579"/>
      <c r="AV45" s="579"/>
      <c r="AW45" s="579"/>
      <c r="AY45" s="330"/>
      <c r="AZ45" s="311">
        <v>26</v>
      </c>
      <c r="BA45" s="409" t="s">
        <v>90</v>
      </c>
      <c r="BB45" s="101" t="s">
        <v>93</v>
      </c>
      <c r="BC45" s="82">
        <f>F22-F23</f>
        <v>0</v>
      </c>
      <c r="BD45" s="82"/>
      <c r="BE45" s="82">
        <f>H22-H23</f>
        <v>0</v>
      </c>
      <c r="BF45" s="82"/>
      <c r="BG45" s="82">
        <f>J22-J23</f>
        <v>0</v>
      </c>
      <c r="BH45" s="82"/>
      <c r="BI45" s="82">
        <f>L22-L23</f>
        <v>0</v>
      </c>
      <c r="BJ45" s="82"/>
      <c r="BK45" s="82">
        <f>N22-N23</f>
        <v>0</v>
      </c>
      <c r="BL45" s="82"/>
      <c r="BM45" s="82">
        <f>P22-P23</f>
        <v>0</v>
      </c>
      <c r="BN45" s="82"/>
      <c r="BO45" s="82">
        <f>R22-R23</f>
        <v>0</v>
      </c>
      <c r="BP45" s="82"/>
      <c r="BQ45" s="82">
        <f>T22-T23</f>
        <v>0</v>
      </c>
      <c r="BR45" s="82"/>
      <c r="BS45" s="82">
        <f>V22-V23</f>
        <v>0</v>
      </c>
      <c r="BT45" s="82"/>
      <c r="BU45" s="82">
        <f>X22-X23</f>
        <v>0</v>
      </c>
      <c r="BV45" s="82"/>
      <c r="BW45" s="82">
        <f>Z22-Z23</f>
        <v>0</v>
      </c>
      <c r="BX45" s="82"/>
      <c r="BY45" s="82">
        <f>AB22-AB23</f>
        <v>0</v>
      </c>
      <c r="BZ45" s="82"/>
      <c r="CA45" s="82">
        <f>AD22-AD23</f>
        <v>0</v>
      </c>
      <c r="CB45" s="82"/>
      <c r="CC45" s="82">
        <f>AF22-AF23</f>
        <v>0</v>
      </c>
      <c r="CD45" s="82"/>
      <c r="CE45" s="82">
        <f>AH22-AH23</f>
        <v>0</v>
      </c>
      <c r="CF45" s="82"/>
      <c r="CG45" s="82">
        <f>AJ22-AJ23</f>
        <v>0</v>
      </c>
      <c r="CH45" s="82"/>
      <c r="CI45" s="82">
        <f>AL22-AL23</f>
        <v>0</v>
      </c>
      <c r="CJ45" s="82"/>
      <c r="CK45" s="82">
        <f>AN22-AN23</f>
        <v>0</v>
      </c>
      <c r="CL45" s="82"/>
      <c r="CM45" s="82">
        <f>AP22-AP23</f>
        <v>0</v>
      </c>
      <c r="CN45" s="82"/>
      <c r="CO45" s="82">
        <f>AR22-AR23</f>
        <v>0</v>
      </c>
      <c r="CP45" s="82"/>
      <c r="CQ45" s="82">
        <f>AT22-AT23</f>
        <v>0</v>
      </c>
      <c r="CR45" s="82"/>
      <c r="CS45" s="82">
        <f>AV22-AV23</f>
        <v>0</v>
      </c>
    </row>
    <row r="46" spans="3:97" ht="26.25" customHeight="1">
      <c r="C46" s="585"/>
      <c r="D46" s="576" t="str">
        <f>D15&amp;" (W2,7)"</f>
        <v>Manufacturing (ISIC 10-33) (W2,7)</v>
      </c>
      <c r="E46" s="579"/>
      <c r="F46" s="579"/>
      <c r="G46" s="579"/>
      <c r="H46" s="579"/>
      <c r="I46" s="579"/>
      <c r="J46" s="579"/>
      <c r="K46" s="579"/>
      <c r="L46" s="579"/>
      <c r="M46" s="579"/>
      <c r="N46" s="579"/>
      <c r="O46" s="579"/>
      <c r="P46" s="579"/>
      <c r="Q46" s="579"/>
      <c r="R46" s="579"/>
      <c r="S46" s="579"/>
      <c r="T46" s="579"/>
      <c r="U46" s="579"/>
      <c r="V46" s="579"/>
      <c r="W46" s="579"/>
      <c r="X46" s="583"/>
      <c r="Y46" s="299"/>
      <c r="Z46" s="776" t="str">
        <f>D20&amp;"-"&amp;D21&amp;"  =(W2,12)-(W2,13)"</f>
        <v>Imports of water-Exports of water  =(W2,12)-(W2,13)</v>
      </c>
      <c r="AA46" s="808"/>
      <c r="AB46" s="809"/>
      <c r="AC46" s="583"/>
      <c r="AD46" s="582"/>
      <c r="AE46" s="582"/>
      <c r="AF46" s="582"/>
      <c r="AG46" s="579"/>
      <c r="AH46" s="579"/>
      <c r="AI46" s="579"/>
      <c r="AJ46" s="579"/>
      <c r="AK46" s="579"/>
      <c r="AL46" s="579"/>
      <c r="AM46" s="579"/>
      <c r="AN46" s="579"/>
      <c r="AO46" s="579"/>
      <c r="AP46" s="579"/>
      <c r="AQ46" s="785" t="str">
        <f>D30&amp;" (W2,21)"</f>
        <v>    Electricity industry (ISIC 351) (W2,21)</v>
      </c>
      <c r="AR46" s="786"/>
      <c r="AS46" s="786"/>
      <c r="AT46" s="786"/>
      <c r="AU46" s="786"/>
      <c r="AV46" s="786"/>
      <c r="AW46" s="787"/>
      <c r="AY46" s="330"/>
      <c r="AZ46" s="325" t="s">
        <v>203</v>
      </c>
      <c r="BA46" s="424" t="s">
        <v>54</v>
      </c>
      <c r="BB46" s="425"/>
      <c r="BC46" s="83" t="str">
        <f>IF(OR(ISBLANK(F22),ISBLANK(F23),ISBLANK(F24)),"N/A",IF(BC44=BC45,"ok","&lt;&gt;"))</f>
        <v>N/A</v>
      </c>
      <c r="BD46" s="83"/>
      <c r="BE46" s="83" t="str">
        <f>IF(OR(ISBLANK(H22),ISBLANK(H23),ISBLANK(H24)),"N/A",IF(BE44=BE45,"ok","&lt;&gt;"))</f>
        <v>N/A</v>
      </c>
      <c r="BF46" s="83"/>
      <c r="BG46" s="83" t="str">
        <f>IF(OR(ISBLANK(J22),ISBLANK(J23),ISBLANK(J24)),"N/A",IF(BG44=BG45,"ok","&lt;&gt;"))</f>
        <v>N/A</v>
      </c>
      <c r="BH46" s="83"/>
      <c r="BI46" s="83" t="str">
        <f>IF(OR(ISBLANK(L22),ISBLANK(L23),ISBLANK(L24)),"N/A",IF(BI44=BI45,"ok","&lt;&gt;"))</f>
        <v>N/A</v>
      </c>
      <c r="BJ46" s="83"/>
      <c r="BK46" s="83" t="str">
        <f>IF(OR(ISBLANK(N22),ISBLANK(N23),ISBLANK(N24)),"N/A",IF(BK44=BK45,"ok","&lt;&gt;"))</f>
        <v>N/A</v>
      </c>
      <c r="BL46" s="83"/>
      <c r="BM46" s="83" t="str">
        <f>IF(OR(ISBLANK(P22),ISBLANK(P23),ISBLANK(P24)),"N/A",IF(BM44=BM45,"ok","&lt;&gt;"))</f>
        <v>N/A</v>
      </c>
      <c r="BN46" s="83"/>
      <c r="BO46" s="83" t="str">
        <f>IF(OR(ISBLANK(R22),ISBLANK(R23),ISBLANK(R24)),"N/A",IF(BO44=BO45,"ok","&lt;&gt;"))</f>
        <v>N/A</v>
      </c>
      <c r="BP46" s="83"/>
      <c r="BQ46" s="83" t="str">
        <f>IF(OR(ISBLANK(T22),ISBLANK(T23),ISBLANK(T24)),"N/A",IF(BQ44=BQ45,"ok","&lt;&gt;"))</f>
        <v>N/A</v>
      </c>
      <c r="BR46" s="83"/>
      <c r="BS46" s="83" t="str">
        <f>IF(OR(ISBLANK(V22),ISBLANK(V23),ISBLANK(V24)),"N/A",IF(BS44=BS45,"ok","&lt;&gt;"))</f>
        <v>N/A</v>
      </c>
      <c r="BT46" s="83"/>
      <c r="BU46" s="83" t="str">
        <f>IF(OR(ISBLANK(X22),ISBLANK(X23),ISBLANK(X24)),"N/A",IF(BU44=BU45,"ok","&lt;&gt;"))</f>
        <v>N/A</v>
      </c>
      <c r="BV46" s="83"/>
      <c r="BW46" s="83" t="str">
        <f>IF(OR(ISBLANK(Z22),ISBLANK(Z23),ISBLANK(Z24)),"N/A",IF(BW44=BW45,"ok","&lt;&gt;"))</f>
        <v>N/A</v>
      </c>
      <c r="BX46" s="83"/>
      <c r="BY46" s="83" t="str">
        <f>IF(OR(ISBLANK(AB22),ISBLANK(AB23),ISBLANK(AB24)),"N/A",IF(BY44=BY45,"ok","&lt;&gt;"))</f>
        <v>N/A</v>
      </c>
      <c r="BZ46" s="83"/>
      <c r="CA46" s="83" t="str">
        <f>IF(OR(ISBLANK(AD22),ISBLANK(AD23),ISBLANK(AD24)),"N/A",IF(CA44=CA45,"ok","&lt;&gt;"))</f>
        <v>N/A</v>
      </c>
      <c r="CB46" s="83"/>
      <c r="CC46" s="83" t="str">
        <f>IF(OR(ISBLANK(AF22),ISBLANK(AF23),ISBLANK(AF24)),"N/A",IF(CC44=CC45,"ok","&lt;&gt;"))</f>
        <v>N/A</v>
      </c>
      <c r="CD46" s="83"/>
      <c r="CE46" s="83" t="str">
        <f>IF(OR(ISBLANK(AH22),ISBLANK(AH23),ISBLANK(AH24)),"N/A",IF(CE44=CE45,"ok","&lt;&gt;"))</f>
        <v>N/A</v>
      </c>
      <c r="CF46" s="83"/>
      <c r="CG46" s="83" t="str">
        <f>IF(OR(ISBLANK(AJ22),ISBLANK(AJ23),ISBLANK(AJ24)),"N/A",IF(CG44=CG45,"ok","&lt;&gt;"))</f>
        <v>N/A</v>
      </c>
      <c r="CH46" s="83"/>
      <c r="CI46" s="83" t="str">
        <f>IF(OR(ISBLANK(AL22),ISBLANK(AL23),ISBLANK(AL24)),"N/A",IF(CI44=CI45,"ok","&lt;&gt;"))</f>
        <v>N/A</v>
      </c>
      <c r="CJ46" s="83"/>
      <c r="CK46" s="83" t="str">
        <f>IF(OR(ISBLANK(AN22),ISBLANK(AN23),ISBLANK(AN24)),"N/A",IF(CK44=CK45,"ok","&lt;&gt;"))</f>
        <v>N/A</v>
      </c>
      <c r="CL46" s="83"/>
      <c r="CM46" s="83" t="str">
        <f>IF(OR(ISBLANK(AP22),ISBLANK(AP23),ISBLANK(AP24)),"N/A",IF(CM44=CM45,"ok","&lt;&gt;"))</f>
        <v>N/A</v>
      </c>
      <c r="CN46" s="83"/>
      <c r="CO46" s="83" t="str">
        <f>IF(OR(ISBLANK(AR22),ISBLANK(AR23),ISBLANK(AR24)),"N/A",IF(CO44=CO45,"ok","&lt;&gt;"))</f>
        <v>N/A</v>
      </c>
      <c r="CP46" s="83"/>
      <c r="CQ46" s="83" t="str">
        <f>IF(OR(ISBLANK(AT22),ISBLANK(AT23),ISBLANK(AT24)),"N/A",IF(CQ44=CQ45,"ok","&lt;&gt;"))</f>
        <v>N/A</v>
      </c>
      <c r="CR46" s="83"/>
      <c r="CS46" s="83" t="str">
        <f>IF(OR(ISBLANK(AV22),ISBLANK(AV23),ISBLANK(AV24)),"N/A",IF(CS44=CS45,"ok","&lt;&gt;"))</f>
        <v>N/A</v>
      </c>
    </row>
    <row r="47" spans="3:98" ht="12" customHeight="1">
      <c r="C47" s="585"/>
      <c r="D47" s="591"/>
      <c r="E47" s="579"/>
      <c r="F47" s="579"/>
      <c r="G47" s="579"/>
      <c r="H47" s="579"/>
      <c r="I47" s="579"/>
      <c r="J47" s="579"/>
      <c r="K47" s="579"/>
      <c r="L47" s="579"/>
      <c r="M47" s="579"/>
      <c r="N47" s="579"/>
      <c r="O47" s="579"/>
      <c r="P47" s="579"/>
      <c r="Q47" s="579"/>
      <c r="R47" s="579"/>
      <c r="S47" s="579"/>
      <c r="T47" s="579"/>
      <c r="U47" s="579"/>
      <c r="V47" s="579"/>
      <c r="W47" s="579"/>
      <c r="X47" s="583"/>
      <c r="Y47" s="299"/>
      <c r="Z47" s="810"/>
      <c r="AA47" s="811"/>
      <c r="AB47" s="812"/>
      <c r="AC47" s="592"/>
      <c r="AD47" s="592"/>
      <c r="AE47" s="592"/>
      <c r="AF47" s="592"/>
      <c r="AG47" s="593"/>
      <c r="AH47" s="594"/>
      <c r="AI47" s="579"/>
      <c r="AJ47" s="579"/>
      <c r="AK47" s="579"/>
      <c r="AL47" s="579"/>
      <c r="AM47" s="579"/>
      <c r="AN47" s="579"/>
      <c r="AO47" s="579"/>
      <c r="AP47" s="579"/>
      <c r="AQ47" s="579"/>
      <c r="AR47" s="579"/>
      <c r="AS47" s="579"/>
      <c r="AT47" s="579"/>
      <c r="AU47" s="579"/>
      <c r="AV47" s="579"/>
      <c r="AW47" s="579"/>
      <c r="AZ47" s="327" t="s">
        <v>66</v>
      </c>
      <c r="BA47" s="328" t="s">
        <v>67</v>
      </c>
      <c r="BB47" s="100"/>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320"/>
    </row>
    <row r="48" spans="3:98" ht="20.25" customHeight="1">
      <c r="C48" s="585"/>
      <c r="D48" s="576" t="str">
        <f>D16&amp;" (W2,8)"</f>
        <v>Electricity industry (ISIC 351) (W2,8)</v>
      </c>
      <c r="E48" s="579"/>
      <c r="F48" s="579"/>
      <c r="G48" s="579"/>
      <c r="H48" s="579"/>
      <c r="I48" s="579"/>
      <c r="J48" s="579"/>
      <c r="K48" s="579"/>
      <c r="L48" s="579"/>
      <c r="M48" s="579"/>
      <c r="N48" s="579"/>
      <c r="O48" s="579"/>
      <c r="P48" s="579"/>
      <c r="Q48" s="579"/>
      <c r="R48" s="579"/>
      <c r="S48" s="579"/>
      <c r="T48" s="579"/>
      <c r="U48" s="579"/>
      <c r="V48" s="579"/>
      <c r="W48" s="579"/>
      <c r="X48" s="583"/>
      <c r="Y48" s="299"/>
      <c r="Z48" s="810"/>
      <c r="AA48" s="811"/>
      <c r="AB48" s="812"/>
      <c r="AC48" s="583"/>
      <c r="AD48" s="579"/>
      <c r="AE48" s="579"/>
      <c r="AF48" s="579"/>
      <c r="AG48" s="579"/>
      <c r="AH48" s="776" t="str">
        <f>D23&amp;" (W2,15)"</f>
        <v>Losses during transport (W2,15)</v>
      </c>
      <c r="AI48" s="788"/>
      <c r="AJ48" s="788"/>
      <c r="AK48" s="788"/>
      <c r="AL48" s="789"/>
      <c r="AM48" s="579"/>
      <c r="AN48" s="579"/>
      <c r="AO48" s="579"/>
      <c r="AP48" s="579"/>
      <c r="AQ48" s="785" t="str">
        <f>D31&amp;" (W2,22)"</f>
        <v>    Other economic activities (W2,22)</v>
      </c>
      <c r="AR48" s="786"/>
      <c r="AS48" s="786"/>
      <c r="AT48" s="786"/>
      <c r="AU48" s="786"/>
      <c r="AV48" s="786"/>
      <c r="AW48" s="787"/>
      <c r="AZ48" s="327" t="s">
        <v>68</v>
      </c>
      <c r="BA48" s="328" t="s">
        <v>69</v>
      </c>
      <c r="BB48" s="100"/>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320"/>
    </row>
    <row r="49" spans="3:98" ht="12" customHeight="1">
      <c r="C49" s="585"/>
      <c r="D49" s="591"/>
      <c r="E49" s="579"/>
      <c r="F49" s="579"/>
      <c r="G49" s="579"/>
      <c r="H49" s="579"/>
      <c r="I49" s="579"/>
      <c r="J49" s="579"/>
      <c r="K49" s="579"/>
      <c r="L49" s="579"/>
      <c r="M49" s="579"/>
      <c r="N49" s="579"/>
      <c r="O49" s="579"/>
      <c r="P49" s="579"/>
      <c r="Q49" s="579"/>
      <c r="R49" s="579"/>
      <c r="S49" s="579"/>
      <c r="T49" s="579"/>
      <c r="U49" s="579"/>
      <c r="V49" s="579"/>
      <c r="W49" s="579"/>
      <c r="X49" s="583"/>
      <c r="Y49" s="605"/>
      <c r="Z49" s="813"/>
      <c r="AA49" s="814"/>
      <c r="AB49" s="815"/>
      <c r="AC49" s="579"/>
      <c r="AD49" s="579"/>
      <c r="AE49" s="579"/>
      <c r="AF49" s="579"/>
      <c r="AG49" s="579"/>
      <c r="AH49" s="790"/>
      <c r="AI49" s="791"/>
      <c r="AJ49" s="791"/>
      <c r="AK49" s="791"/>
      <c r="AL49" s="792"/>
      <c r="AM49" s="579"/>
      <c r="AN49" s="579"/>
      <c r="AO49" s="579"/>
      <c r="AP49" s="579"/>
      <c r="AQ49" s="579"/>
      <c r="AR49" s="579"/>
      <c r="AS49" s="579"/>
      <c r="AT49" s="579"/>
      <c r="AU49" s="579"/>
      <c r="AV49" s="579"/>
      <c r="AW49" s="579"/>
      <c r="AZ49" s="329" t="s">
        <v>71</v>
      </c>
      <c r="BA49" s="328" t="s">
        <v>73</v>
      </c>
      <c r="BB49" s="100"/>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320"/>
    </row>
    <row r="50" spans="3:98" ht="15" customHeight="1">
      <c r="C50" s="585"/>
      <c r="D50" s="576" t="str">
        <f>D17&amp;" (W2,9)"</f>
        <v>Other economic activities (W2,9)</v>
      </c>
      <c r="E50" s="579"/>
      <c r="F50" s="579"/>
      <c r="G50" s="579"/>
      <c r="H50" s="579"/>
      <c r="I50" s="579"/>
      <c r="J50" s="579"/>
      <c r="K50" s="579"/>
      <c r="L50" s="579"/>
      <c r="M50" s="579"/>
      <c r="N50" s="579"/>
      <c r="O50" s="579"/>
      <c r="P50" s="579"/>
      <c r="Q50" s="579"/>
      <c r="R50" s="579"/>
      <c r="S50" s="579"/>
      <c r="T50" s="579"/>
      <c r="U50" s="579"/>
      <c r="V50" s="579"/>
      <c r="W50" s="579"/>
      <c r="X50" s="579"/>
      <c r="Y50" s="583"/>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Z50" s="329" t="s">
        <v>70</v>
      </c>
      <c r="BA50" s="328" t="s">
        <v>14</v>
      </c>
      <c r="BB50" s="100"/>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320"/>
    </row>
    <row r="51" spans="2:98" ht="22.5" customHeight="1">
      <c r="B51" s="190">
        <v>1</v>
      </c>
      <c r="C51" s="313" t="s">
        <v>359</v>
      </c>
      <c r="D51" s="411"/>
      <c r="E51" s="313"/>
      <c r="F51" s="222"/>
      <c r="G51" s="316"/>
      <c r="H51" s="317"/>
      <c r="I51" s="318"/>
      <c r="J51" s="317"/>
      <c r="K51" s="318"/>
      <c r="L51" s="317"/>
      <c r="M51" s="318"/>
      <c r="N51" s="317"/>
      <c r="O51" s="318"/>
      <c r="P51" s="317"/>
      <c r="Q51" s="318"/>
      <c r="R51" s="317"/>
      <c r="S51" s="318"/>
      <c r="T51" s="317"/>
      <c r="U51" s="318"/>
      <c r="V51" s="317"/>
      <c r="W51" s="316"/>
      <c r="X51" s="317"/>
      <c r="Y51" s="316"/>
      <c r="Z51" s="317"/>
      <c r="AA51" s="316"/>
      <c r="AB51" s="317"/>
      <c r="AC51" s="316"/>
      <c r="AD51" s="317"/>
      <c r="AE51" s="316"/>
      <c r="AF51" s="412"/>
      <c r="AG51" s="316"/>
      <c r="AH51" s="317"/>
      <c r="AI51" s="318"/>
      <c r="AJ51" s="317"/>
      <c r="AK51" s="316"/>
      <c r="AL51" s="317"/>
      <c r="AM51" s="316"/>
      <c r="AN51" s="317"/>
      <c r="AO51" s="368"/>
      <c r="AP51" s="368"/>
      <c r="AQ51" s="368"/>
      <c r="AR51" s="368"/>
      <c r="AS51" s="368"/>
      <c r="AT51" s="367"/>
      <c r="AU51" s="315"/>
      <c r="AV51" s="367"/>
      <c r="AW51" s="315"/>
      <c r="AX51" s="315"/>
      <c r="AZ51" s="574"/>
      <c r="BA51" s="574"/>
      <c r="BB51" s="100"/>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320"/>
    </row>
    <row r="52" spans="3:98" ht="9" customHeight="1">
      <c r="C52" s="571"/>
      <c r="D52" s="571"/>
      <c r="E52" s="572"/>
      <c r="F52" s="428"/>
      <c r="G52" s="348"/>
      <c r="H52" s="353"/>
      <c r="I52" s="433"/>
      <c r="J52" s="353"/>
      <c r="K52" s="433"/>
      <c r="L52" s="353"/>
      <c r="M52" s="433"/>
      <c r="N52" s="353"/>
      <c r="O52" s="433"/>
      <c r="P52" s="353"/>
      <c r="Q52" s="433"/>
      <c r="R52" s="353"/>
      <c r="S52" s="433"/>
      <c r="T52" s="353"/>
      <c r="U52" s="433"/>
      <c r="V52" s="353"/>
      <c r="W52" s="348"/>
      <c r="X52" s="353"/>
      <c r="Y52" s="348"/>
      <c r="Z52" s="353"/>
      <c r="AA52" s="348"/>
      <c r="AB52" s="353"/>
      <c r="AC52" s="348"/>
      <c r="AD52" s="353"/>
      <c r="AE52" s="348"/>
      <c r="AF52" s="573"/>
      <c r="AG52" s="348"/>
      <c r="AH52" s="353"/>
      <c r="AI52" s="433"/>
      <c r="AJ52" s="353"/>
      <c r="AK52" s="348"/>
      <c r="AL52" s="353"/>
      <c r="AM52" s="348"/>
      <c r="AN52" s="353"/>
      <c r="AZ52" s="426"/>
      <c r="BA52" s="427"/>
      <c r="BB52" s="100"/>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320"/>
    </row>
    <row r="53" spans="3:98" ht="18" customHeight="1">
      <c r="C53" s="324" t="s">
        <v>354</v>
      </c>
      <c r="D53" s="416" t="s">
        <v>357</v>
      </c>
      <c r="E53" s="416"/>
      <c r="F53" s="417"/>
      <c r="G53" s="418"/>
      <c r="H53" s="419"/>
      <c r="I53" s="420"/>
      <c r="J53" s="419"/>
      <c r="K53" s="420"/>
      <c r="L53" s="419"/>
      <c r="M53" s="420"/>
      <c r="N53" s="419"/>
      <c r="O53" s="420"/>
      <c r="P53" s="419"/>
      <c r="Q53" s="420"/>
      <c r="R53" s="419"/>
      <c r="S53" s="420"/>
      <c r="T53" s="419"/>
      <c r="U53" s="420"/>
      <c r="V53" s="419"/>
      <c r="W53" s="418"/>
      <c r="X53" s="419"/>
      <c r="Y53" s="418"/>
      <c r="Z53" s="419"/>
      <c r="AA53" s="418"/>
      <c r="AB53" s="419"/>
      <c r="AC53" s="418"/>
      <c r="AD53" s="419"/>
      <c r="AE53" s="418"/>
      <c r="AF53" s="421"/>
      <c r="AG53" s="418"/>
      <c r="AH53" s="419"/>
      <c r="AI53" s="420"/>
      <c r="AJ53" s="419"/>
      <c r="AK53" s="418"/>
      <c r="AL53" s="419"/>
      <c r="AM53" s="418"/>
      <c r="AN53" s="419"/>
      <c r="AO53" s="418"/>
      <c r="AP53" s="418"/>
      <c r="AQ53" s="418"/>
      <c r="AR53" s="418"/>
      <c r="AS53" s="418"/>
      <c r="AT53" s="419"/>
      <c r="AU53" s="422"/>
      <c r="AV53" s="419"/>
      <c r="AW53" s="422"/>
      <c r="AX53" s="423"/>
      <c r="AZ53" s="426"/>
      <c r="BA53" s="427"/>
      <c r="BB53" s="100"/>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320"/>
    </row>
    <row r="54" spans="3:98" ht="18" customHeight="1">
      <c r="C54" s="616"/>
      <c r="D54" s="741"/>
      <c r="E54" s="795"/>
      <c r="F54" s="795"/>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795"/>
      <c r="AE54" s="795"/>
      <c r="AF54" s="795"/>
      <c r="AG54" s="795"/>
      <c r="AH54" s="795"/>
      <c r="AI54" s="795"/>
      <c r="AJ54" s="795"/>
      <c r="AK54" s="795"/>
      <c r="AL54" s="795"/>
      <c r="AM54" s="795"/>
      <c r="AN54" s="795"/>
      <c r="AO54" s="795"/>
      <c r="AP54" s="795"/>
      <c r="AQ54" s="795"/>
      <c r="AR54" s="795"/>
      <c r="AS54" s="795"/>
      <c r="AT54" s="795"/>
      <c r="AU54" s="795"/>
      <c r="AV54" s="795"/>
      <c r="AW54" s="795"/>
      <c r="AX54" s="796"/>
      <c r="AZ54" s="426"/>
      <c r="BA54" s="427"/>
      <c r="BB54" s="100"/>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320"/>
    </row>
    <row r="55" spans="3:98" ht="18" customHeight="1">
      <c r="C55" s="569"/>
      <c r="D55" s="759"/>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c r="AQ55" s="793"/>
      <c r="AR55" s="793"/>
      <c r="AS55" s="793"/>
      <c r="AT55" s="793"/>
      <c r="AU55" s="793"/>
      <c r="AV55" s="793"/>
      <c r="AW55" s="793"/>
      <c r="AX55" s="794"/>
      <c r="AZ55" s="426"/>
      <c r="BA55" s="427"/>
      <c r="BB55" s="100"/>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320"/>
    </row>
    <row r="56" spans="3:98" ht="18" customHeight="1">
      <c r="C56" s="569"/>
      <c r="D56" s="759"/>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c r="AZ56" s="426"/>
      <c r="BA56" s="427"/>
      <c r="BB56" s="100"/>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320"/>
    </row>
    <row r="57" spans="3:98" ht="18" customHeight="1">
      <c r="C57" s="569"/>
      <c r="D57" s="759"/>
      <c r="E57" s="793"/>
      <c r="F57" s="793"/>
      <c r="G57" s="793"/>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c r="AZ57" s="426"/>
      <c r="BA57" s="427"/>
      <c r="BB57" s="100"/>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320"/>
    </row>
    <row r="58" spans="3:98" ht="18" customHeight="1">
      <c r="C58" s="569"/>
      <c r="D58" s="759"/>
      <c r="E58" s="793"/>
      <c r="F58" s="793"/>
      <c r="G58" s="793"/>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c r="AZ58" s="426"/>
      <c r="BA58" s="427"/>
      <c r="BB58" s="100"/>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320"/>
    </row>
    <row r="59" spans="3:98" ht="18" customHeight="1">
      <c r="C59" s="569"/>
      <c r="D59" s="759"/>
      <c r="E59" s="793"/>
      <c r="F59" s="793"/>
      <c r="G59" s="793"/>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c r="AZ59" s="426"/>
      <c r="BA59" s="427"/>
      <c r="BB59" s="100"/>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320"/>
    </row>
    <row r="60" spans="3:98" ht="18" customHeight="1">
      <c r="C60" s="569"/>
      <c r="D60" s="759"/>
      <c r="E60" s="793"/>
      <c r="F60" s="793"/>
      <c r="G60" s="793"/>
      <c r="H60" s="793"/>
      <c r="I60" s="793"/>
      <c r="J60" s="793"/>
      <c r="K60" s="793"/>
      <c r="L60" s="793"/>
      <c r="M60" s="793"/>
      <c r="N60" s="793"/>
      <c r="O60" s="793"/>
      <c r="P60" s="793"/>
      <c r="Q60" s="793"/>
      <c r="R60" s="793"/>
      <c r="S60" s="793"/>
      <c r="T60" s="793"/>
      <c r="U60" s="793"/>
      <c r="V60" s="793"/>
      <c r="W60" s="793"/>
      <c r="X60" s="793"/>
      <c r="Y60" s="793"/>
      <c r="Z60" s="793"/>
      <c r="AA60" s="793"/>
      <c r="AB60" s="793"/>
      <c r="AC60" s="793"/>
      <c r="AD60" s="793"/>
      <c r="AE60" s="793"/>
      <c r="AF60" s="793"/>
      <c r="AG60" s="793"/>
      <c r="AH60" s="793"/>
      <c r="AI60" s="793"/>
      <c r="AJ60" s="793"/>
      <c r="AK60" s="793"/>
      <c r="AL60" s="793"/>
      <c r="AM60" s="793"/>
      <c r="AN60" s="793"/>
      <c r="AO60" s="793"/>
      <c r="AP60" s="793"/>
      <c r="AQ60" s="793"/>
      <c r="AR60" s="793"/>
      <c r="AS60" s="793"/>
      <c r="AT60" s="793"/>
      <c r="AU60" s="793"/>
      <c r="AV60" s="793"/>
      <c r="AW60" s="793"/>
      <c r="AX60" s="794"/>
      <c r="AZ60" s="426"/>
      <c r="BA60" s="427"/>
      <c r="BB60" s="100"/>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320"/>
    </row>
    <row r="61" spans="3:98" ht="18" customHeight="1">
      <c r="C61" s="617"/>
      <c r="D61" s="759"/>
      <c r="E61" s="793"/>
      <c r="F61" s="793"/>
      <c r="G61" s="793"/>
      <c r="H61" s="793"/>
      <c r="I61" s="793"/>
      <c r="J61" s="793"/>
      <c r="K61" s="793"/>
      <c r="L61" s="793"/>
      <c r="M61" s="793"/>
      <c r="N61" s="793"/>
      <c r="O61" s="793"/>
      <c r="P61" s="793"/>
      <c r="Q61" s="793"/>
      <c r="R61" s="793"/>
      <c r="S61" s="793"/>
      <c r="T61" s="793"/>
      <c r="U61" s="793"/>
      <c r="V61" s="793"/>
      <c r="W61" s="793"/>
      <c r="X61" s="793"/>
      <c r="Y61" s="793"/>
      <c r="Z61" s="793"/>
      <c r="AA61" s="793"/>
      <c r="AB61" s="793"/>
      <c r="AC61" s="793"/>
      <c r="AD61" s="793"/>
      <c r="AE61" s="793"/>
      <c r="AF61" s="793"/>
      <c r="AG61" s="793"/>
      <c r="AH61" s="793"/>
      <c r="AI61" s="793"/>
      <c r="AJ61" s="793"/>
      <c r="AK61" s="793"/>
      <c r="AL61" s="793"/>
      <c r="AM61" s="793"/>
      <c r="AN61" s="793"/>
      <c r="AO61" s="793"/>
      <c r="AP61" s="793"/>
      <c r="AQ61" s="793"/>
      <c r="AR61" s="793"/>
      <c r="AS61" s="793"/>
      <c r="AT61" s="793"/>
      <c r="AU61" s="793"/>
      <c r="AV61" s="793"/>
      <c r="AW61" s="793"/>
      <c r="AX61" s="794"/>
      <c r="AZ61" s="426"/>
      <c r="BA61" s="429"/>
      <c r="BB61" s="100"/>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320"/>
    </row>
    <row r="62" spans="3:98" ht="18" customHeight="1">
      <c r="C62" s="569"/>
      <c r="D62" s="759"/>
      <c r="E62" s="793"/>
      <c r="F62" s="793"/>
      <c r="G62" s="793"/>
      <c r="H62" s="793"/>
      <c r="I62" s="793"/>
      <c r="J62" s="793"/>
      <c r="K62" s="793"/>
      <c r="L62" s="793"/>
      <c r="M62" s="793"/>
      <c r="N62" s="793"/>
      <c r="O62" s="793"/>
      <c r="P62" s="793"/>
      <c r="Q62" s="793"/>
      <c r="R62" s="793"/>
      <c r="S62" s="793"/>
      <c r="T62" s="793"/>
      <c r="U62" s="793"/>
      <c r="V62" s="793"/>
      <c r="W62" s="793"/>
      <c r="X62" s="793"/>
      <c r="Y62" s="793"/>
      <c r="Z62" s="793"/>
      <c r="AA62" s="793"/>
      <c r="AB62" s="793"/>
      <c r="AC62" s="793"/>
      <c r="AD62" s="793"/>
      <c r="AE62" s="793"/>
      <c r="AF62" s="793"/>
      <c r="AG62" s="793"/>
      <c r="AH62" s="793"/>
      <c r="AI62" s="793"/>
      <c r="AJ62" s="793"/>
      <c r="AK62" s="793"/>
      <c r="AL62" s="793"/>
      <c r="AM62" s="793"/>
      <c r="AN62" s="793"/>
      <c r="AO62" s="793"/>
      <c r="AP62" s="793"/>
      <c r="AQ62" s="793"/>
      <c r="AR62" s="793"/>
      <c r="AS62" s="793"/>
      <c r="AT62" s="793"/>
      <c r="AU62" s="793"/>
      <c r="AV62" s="793"/>
      <c r="AW62" s="793"/>
      <c r="AX62" s="794"/>
      <c r="CT62" s="320"/>
    </row>
    <row r="63" spans="3:98" ht="18" customHeight="1">
      <c r="C63" s="569"/>
      <c r="D63" s="759"/>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c r="CT63" s="320"/>
    </row>
    <row r="64" spans="3:98" ht="18" customHeight="1">
      <c r="C64" s="569"/>
      <c r="D64" s="606"/>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8"/>
      <c r="CT64" s="320"/>
    </row>
    <row r="65" spans="3:98" ht="18" customHeight="1">
      <c r="C65" s="569"/>
      <c r="D65" s="759"/>
      <c r="E65" s="793"/>
      <c r="F65" s="793"/>
      <c r="G65" s="793"/>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c r="CT65" s="320"/>
    </row>
    <row r="66" spans="3:98" ht="18" customHeight="1">
      <c r="C66" s="569"/>
      <c r="D66" s="759"/>
      <c r="E66" s="793"/>
      <c r="F66" s="793"/>
      <c r="G66" s="793"/>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c r="CT66" s="320"/>
    </row>
    <row r="67" spans="2:98" ht="18" customHeight="1">
      <c r="B67" s="431"/>
      <c r="C67" s="617"/>
      <c r="D67" s="759"/>
      <c r="E67" s="793"/>
      <c r="F67" s="793"/>
      <c r="G67" s="793"/>
      <c r="H67" s="793"/>
      <c r="I67" s="793"/>
      <c r="J67" s="793"/>
      <c r="K67" s="793"/>
      <c r="L67" s="793"/>
      <c r="M67" s="793"/>
      <c r="N67" s="793"/>
      <c r="O67" s="793"/>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3"/>
      <c r="AQ67" s="793"/>
      <c r="AR67" s="793"/>
      <c r="AS67" s="793"/>
      <c r="AT67" s="793"/>
      <c r="AU67" s="793"/>
      <c r="AV67" s="793"/>
      <c r="AW67" s="793"/>
      <c r="AX67" s="794"/>
      <c r="CT67" s="320"/>
    </row>
    <row r="68" spans="3:98" ht="18" customHeight="1">
      <c r="C68" s="569"/>
      <c r="D68" s="759"/>
      <c r="E68" s="793"/>
      <c r="F68" s="793"/>
      <c r="G68" s="793"/>
      <c r="H68" s="793"/>
      <c r="I68" s="793"/>
      <c r="J68" s="793"/>
      <c r="K68" s="793"/>
      <c r="L68" s="793"/>
      <c r="M68" s="793"/>
      <c r="N68" s="793"/>
      <c r="O68" s="793"/>
      <c r="P68" s="793"/>
      <c r="Q68" s="793"/>
      <c r="R68" s="793"/>
      <c r="S68" s="793"/>
      <c r="T68" s="793"/>
      <c r="U68" s="793"/>
      <c r="V68" s="793"/>
      <c r="W68" s="793"/>
      <c r="X68" s="793"/>
      <c r="Y68" s="793"/>
      <c r="Z68" s="793"/>
      <c r="AA68" s="793"/>
      <c r="AB68" s="793"/>
      <c r="AC68" s="793"/>
      <c r="AD68" s="793"/>
      <c r="AE68" s="793"/>
      <c r="AF68" s="793"/>
      <c r="AG68" s="793"/>
      <c r="AH68" s="793"/>
      <c r="AI68" s="793"/>
      <c r="AJ68" s="793"/>
      <c r="AK68" s="793"/>
      <c r="AL68" s="793"/>
      <c r="AM68" s="793"/>
      <c r="AN68" s="793"/>
      <c r="AO68" s="793"/>
      <c r="AP68" s="793"/>
      <c r="AQ68" s="793"/>
      <c r="AR68" s="793"/>
      <c r="AS68" s="793"/>
      <c r="AT68" s="793"/>
      <c r="AU68" s="793"/>
      <c r="AV68" s="793"/>
      <c r="AW68" s="793"/>
      <c r="AX68" s="794"/>
      <c r="CT68" s="320"/>
    </row>
    <row r="69" spans="3:98" ht="18" customHeight="1">
      <c r="C69" s="569"/>
      <c r="D69" s="759"/>
      <c r="E69" s="793"/>
      <c r="F69" s="793"/>
      <c r="G69" s="793"/>
      <c r="H69" s="793"/>
      <c r="I69" s="793"/>
      <c r="J69" s="793"/>
      <c r="K69" s="793"/>
      <c r="L69" s="793"/>
      <c r="M69" s="793"/>
      <c r="N69" s="793"/>
      <c r="O69" s="793"/>
      <c r="P69" s="793"/>
      <c r="Q69" s="793"/>
      <c r="R69" s="793"/>
      <c r="S69" s="793"/>
      <c r="T69" s="793"/>
      <c r="U69" s="793"/>
      <c r="V69" s="793"/>
      <c r="W69" s="793"/>
      <c r="X69" s="793"/>
      <c r="Y69" s="793"/>
      <c r="Z69" s="793"/>
      <c r="AA69" s="793"/>
      <c r="AB69" s="793"/>
      <c r="AC69" s="793"/>
      <c r="AD69" s="793"/>
      <c r="AE69" s="793"/>
      <c r="AF69" s="793"/>
      <c r="AG69" s="793"/>
      <c r="AH69" s="793"/>
      <c r="AI69" s="793"/>
      <c r="AJ69" s="793"/>
      <c r="AK69" s="793"/>
      <c r="AL69" s="793"/>
      <c r="AM69" s="793"/>
      <c r="AN69" s="793"/>
      <c r="AO69" s="793"/>
      <c r="AP69" s="793"/>
      <c r="AQ69" s="793"/>
      <c r="AR69" s="793"/>
      <c r="AS69" s="793"/>
      <c r="AT69" s="793"/>
      <c r="AU69" s="793"/>
      <c r="AV69" s="793"/>
      <c r="AW69" s="793"/>
      <c r="AX69" s="794"/>
      <c r="CT69" s="320"/>
    </row>
    <row r="70" spans="3:98" ht="18" customHeight="1">
      <c r="C70" s="569"/>
      <c r="D70" s="759"/>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c r="CT70" s="320"/>
    </row>
    <row r="71" spans="3:50" ht="18" customHeight="1">
      <c r="C71" s="569"/>
      <c r="D71" s="759"/>
      <c r="E71" s="793"/>
      <c r="F71" s="793"/>
      <c r="G71" s="793"/>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row r="72" spans="3:50" ht="18" customHeight="1">
      <c r="C72" s="569"/>
      <c r="D72" s="759"/>
      <c r="E72" s="793"/>
      <c r="F72" s="793"/>
      <c r="G72" s="793"/>
      <c r="H72" s="793"/>
      <c r="I72" s="793"/>
      <c r="J72" s="793"/>
      <c r="K72" s="793"/>
      <c r="L72" s="793"/>
      <c r="M72" s="793"/>
      <c r="N72" s="793"/>
      <c r="O72" s="793"/>
      <c r="P72" s="793"/>
      <c r="Q72" s="793"/>
      <c r="R72" s="793"/>
      <c r="S72" s="793"/>
      <c r="T72" s="793"/>
      <c r="U72" s="793"/>
      <c r="V72" s="793"/>
      <c r="W72" s="793"/>
      <c r="X72" s="793"/>
      <c r="Y72" s="793"/>
      <c r="Z72" s="793"/>
      <c r="AA72" s="793"/>
      <c r="AB72" s="793"/>
      <c r="AC72" s="793"/>
      <c r="AD72" s="793"/>
      <c r="AE72" s="793"/>
      <c r="AF72" s="793"/>
      <c r="AG72" s="793"/>
      <c r="AH72" s="793"/>
      <c r="AI72" s="793"/>
      <c r="AJ72" s="793"/>
      <c r="AK72" s="793"/>
      <c r="AL72" s="793"/>
      <c r="AM72" s="793"/>
      <c r="AN72" s="793"/>
      <c r="AO72" s="793"/>
      <c r="AP72" s="793"/>
      <c r="AQ72" s="793"/>
      <c r="AR72" s="793"/>
      <c r="AS72" s="793"/>
      <c r="AT72" s="793"/>
      <c r="AU72" s="793"/>
      <c r="AV72" s="793"/>
      <c r="AW72" s="793"/>
      <c r="AX72" s="794"/>
    </row>
    <row r="73" spans="2:50" ht="18" customHeight="1">
      <c r="B73" s="575"/>
      <c r="C73" s="617"/>
      <c r="D73" s="759"/>
      <c r="E73" s="793"/>
      <c r="F73" s="793"/>
      <c r="G73" s="793"/>
      <c r="H73" s="793"/>
      <c r="I73" s="793"/>
      <c r="J73" s="793"/>
      <c r="K73" s="793"/>
      <c r="L73" s="793"/>
      <c r="M73" s="793"/>
      <c r="N73" s="793"/>
      <c r="O73" s="793"/>
      <c r="P73" s="793"/>
      <c r="Q73" s="793"/>
      <c r="R73" s="793"/>
      <c r="S73" s="793"/>
      <c r="T73" s="793"/>
      <c r="U73" s="793"/>
      <c r="V73" s="793"/>
      <c r="W73" s="793"/>
      <c r="X73" s="793"/>
      <c r="Y73" s="793"/>
      <c r="Z73" s="793"/>
      <c r="AA73" s="793"/>
      <c r="AB73" s="793"/>
      <c r="AC73" s="793"/>
      <c r="AD73" s="793"/>
      <c r="AE73" s="793"/>
      <c r="AF73" s="793"/>
      <c r="AG73" s="793"/>
      <c r="AH73" s="793"/>
      <c r="AI73" s="793"/>
      <c r="AJ73" s="793"/>
      <c r="AK73" s="793"/>
      <c r="AL73" s="793"/>
      <c r="AM73" s="793"/>
      <c r="AN73" s="793"/>
      <c r="AO73" s="793"/>
      <c r="AP73" s="793"/>
      <c r="AQ73" s="793"/>
      <c r="AR73" s="793"/>
      <c r="AS73" s="793"/>
      <c r="AT73" s="793"/>
      <c r="AU73" s="793"/>
      <c r="AV73" s="793"/>
      <c r="AW73" s="793"/>
      <c r="AX73" s="794"/>
    </row>
    <row r="74" spans="3:50" ht="18" customHeight="1">
      <c r="C74" s="569"/>
      <c r="D74" s="805"/>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7"/>
    </row>
    <row r="75" spans="1:97" s="320" customFormat="1" ht="18" customHeight="1">
      <c r="A75" s="221"/>
      <c r="B75" s="190"/>
      <c r="C75" s="618"/>
      <c r="D75" s="77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1"/>
      <c r="AS75" s="801"/>
      <c r="AT75" s="801"/>
      <c r="AU75" s="801"/>
      <c r="AV75" s="801"/>
      <c r="AW75" s="801"/>
      <c r="AX75" s="802"/>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row>
    <row r="76" spans="1:97" s="320" customFormat="1" ht="15" customHeight="1">
      <c r="A76" s="221"/>
      <c r="B76" s="190"/>
      <c r="C76" s="619"/>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c r="AS76" s="596"/>
      <c r="AT76" s="596"/>
      <c r="AU76" s="596"/>
      <c r="AV76" s="596"/>
      <c r="AW76" s="596"/>
      <c r="AX76" s="597"/>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row>
    <row r="77" spans="1:97" s="320" customFormat="1" ht="10.5" customHeight="1">
      <c r="A77" s="221"/>
      <c r="B77" s="190"/>
      <c r="C77" s="619"/>
      <c r="D77" s="598"/>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432"/>
      <c r="AZ77" s="432"/>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row>
    <row r="78" spans="3:97" ht="16.5" customHeight="1">
      <c r="C78" s="410"/>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row>
    <row r="79" spans="3:50" ht="24" customHeight="1">
      <c r="C79" s="410"/>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row>
    <row r="80" spans="3:50" ht="9.75" customHeight="1">
      <c r="C80" s="410"/>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row>
    <row r="81" spans="3:50" ht="16.5" customHeight="1">
      <c r="C81" s="410"/>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row>
    <row r="82" ht="26.25" customHeight="1"/>
    <row r="83" spans="3:39" ht="12.75" customHeight="1">
      <c r="C83" s="428"/>
      <c r="D83" s="428"/>
      <c r="E83" s="428"/>
      <c r="F83" s="428"/>
      <c r="G83" s="348"/>
      <c r="H83" s="353"/>
      <c r="I83" s="433"/>
      <c r="J83" s="353"/>
      <c r="K83" s="433"/>
      <c r="L83" s="353"/>
      <c r="M83" s="433"/>
      <c r="N83" s="353"/>
      <c r="O83" s="433"/>
      <c r="P83" s="353"/>
      <c r="Q83" s="433"/>
      <c r="R83" s="353"/>
      <c r="S83" s="433"/>
      <c r="T83" s="353"/>
      <c r="U83" s="433"/>
      <c r="V83" s="353"/>
      <c r="W83" s="348"/>
      <c r="X83" s="353"/>
      <c r="Y83" s="348"/>
      <c r="Z83" s="353"/>
      <c r="AA83" s="348"/>
      <c r="AB83" s="353"/>
      <c r="AC83" s="348"/>
      <c r="AD83" s="353"/>
      <c r="AE83" s="348"/>
      <c r="AF83" s="353"/>
      <c r="AG83" s="348"/>
      <c r="AH83" s="353"/>
      <c r="AI83" s="433"/>
      <c r="AJ83" s="353"/>
      <c r="AK83" s="348"/>
      <c r="AL83" s="353"/>
      <c r="AM83" s="348"/>
    </row>
    <row r="84" ht="24" customHeight="1"/>
    <row r="86" ht="26.25" customHeight="1"/>
    <row r="88" ht="27.75" customHeight="1"/>
    <row r="90" ht="19.5" customHeight="1"/>
    <row r="92" ht="16.5" customHeight="1"/>
    <row r="93" spans="1:2" ht="12.75">
      <c r="A93" s="434"/>
      <c r="B93" s="435"/>
    </row>
    <row r="94" spans="1:2" ht="12.75">
      <c r="A94" s="434"/>
      <c r="B94" s="435"/>
    </row>
    <row r="95" spans="1:2" ht="12.75">
      <c r="A95" s="434"/>
      <c r="B95" s="435"/>
    </row>
  </sheetData>
  <sheetProtection sheet="1" formatCells="0" formatColumns="0" formatRows="0" insertColumns="0" insertRows="0" insertHyperlinks="0"/>
  <mergeCells count="41">
    <mergeCell ref="AQ39:AW39"/>
    <mergeCell ref="D74:AX74"/>
    <mergeCell ref="D72:AX72"/>
    <mergeCell ref="Z46:AB49"/>
    <mergeCell ref="D59:AX59"/>
    <mergeCell ref="AK40:AM45"/>
    <mergeCell ref="AN42:AO43"/>
    <mergeCell ref="Z44:AB44"/>
    <mergeCell ref="AQ44:AW44"/>
    <mergeCell ref="D56:AX56"/>
    <mergeCell ref="D75:AX75"/>
    <mergeCell ref="D63:AX63"/>
    <mergeCell ref="D65:AX65"/>
    <mergeCell ref="D66:AX66"/>
    <mergeCell ref="D67:AX67"/>
    <mergeCell ref="D69:AX69"/>
    <mergeCell ref="D71:AX71"/>
    <mergeCell ref="D73:AX73"/>
    <mergeCell ref="D70:AX70"/>
    <mergeCell ref="C5:AM5"/>
    <mergeCell ref="D36:AX36"/>
    <mergeCell ref="D37:AX37"/>
    <mergeCell ref="D33:AX33"/>
    <mergeCell ref="D34:AX34"/>
    <mergeCell ref="E38:AB38"/>
    <mergeCell ref="AQ38:AV38"/>
    <mergeCell ref="D35:AX35"/>
    <mergeCell ref="D57:AX57"/>
    <mergeCell ref="D54:AX54"/>
    <mergeCell ref="D60:AX60"/>
    <mergeCell ref="D62:AX62"/>
    <mergeCell ref="D68:AX68"/>
    <mergeCell ref="D58:AX58"/>
    <mergeCell ref="D61:AX61"/>
    <mergeCell ref="D55:AX55"/>
    <mergeCell ref="AE40:AH45"/>
    <mergeCell ref="AQ46:AW46"/>
    <mergeCell ref="AQ41:AW42"/>
    <mergeCell ref="AH48:AL49"/>
    <mergeCell ref="AQ48:AW48"/>
    <mergeCell ref="Z40:AB42"/>
  </mergeCells>
  <conditionalFormatting sqref="AX24:AZ24">
    <cfRule type="cellIs" priority="351" dxfId="330" operator="lessThan" stopIfTrue="1">
      <formula>AX22-AX23-(0.01*(AX22-AX23))</formula>
    </cfRule>
  </conditionalFormatting>
  <conditionalFormatting sqref="F24">
    <cfRule type="cellIs" priority="64" dxfId="330" operator="lessThan" stopIfTrue="1">
      <formula>0.99*(F22-F23)</formula>
    </cfRule>
  </conditionalFormatting>
  <conditionalFormatting sqref="F10">
    <cfRule type="cellIs" priority="65" dxfId="330" operator="lessThan" stopIfTrue="1">
      <formula>F8+F9-(0.01*(F8+F9))</formula>
    </cfRule>
  </conditionalFormatting>
  <conditionalFormatting sqref="F22">
    <cfRule type="cellIs" priority="66" dxfId="330" operator="lessThan" stopIfTrue="1">
      <formula>F10+F18+F19+F20-F21-(0.01*(F10+F18+F19+F20-F21))</formula>
    </cfRule>
  </conditionalFormatting>
  <conditionalFormatting sqref="H24">
    <cfRule type="cellIs" priority="61" dxfId="330" operator="lessThan" stopIfTrue="1">
      <formula>0.99*(H22-H23)</formula>
    </cfRule>
  </conditionalFormatting>
  <conditionalFormatting sqref="H10">
    <cfRule type="cellIs" priority="62" dxfId="330" operator="lessThan" stopIfTrue="1">
      <formula>H8+H9-(0.01*(H8+H9))</formula>
    </cfRule>
  </conditionalFormatting>
  <conditionalFormatting sqref="H22">
    <cfRule type="cellIs" priority="63" dxfId="330" operator="lessThan" stopIfTrue="1">
      <formula>H10+H18+H19+H20-H21-(0.01*(H10+H18+H19+H20-H21))</formula>
    </cfRule>
  </conditionalFormatting>
  <conditionalFormatting sqref="J24">
    <cfRule type="cellIs" priority="58" dxfId="330" operator="lessThan" stopIfTrue="1">
      <formula>0.99*(J22-J23)</formula>
    </cfRule>
  </conditionalFormatting>
  <conditionalFormatting sqref="J10">
    <cfRule type="cellIs" priority="59" dxfId="330" operator="lessThan" stopIfTrue="1">
      <formula>J8+J9-(0.01*(J8+J9))</formula>
    </cfRule>
  </conditionalFormatting>
  <conditionalFormatting sqref="J22">
    <cfRule type="cellIs" priority="60" dxfId="330" operator="lessThan" stopIfTrue="1">
      <formula>J10+J18+J19+J20-J21-(0.01*(J10+J18+J19+J20-J21))</formula>
    </cfRule>
  </conditionalFormatting>
  <conditionalFormatting sqref="L24">
    <cfRule type="cellIs" priority="55" dxfId="330" operator="lessThan" stopIfTrue="1">
      <formula>0.99*(L22-L23)</formula>
    </cfRule>
  </conditionalFormatting>
  <conditionalFormatting sqref="L10">
    <cfRule type="cellIs" priority="56" dxfId="330" operator="lessThan" stopIfTrue="1">
      <formula>L8+L9-(0.01*(L8+L9))</formula>
    </cfRule>
  </conditionalFormatting>
  <conditionalFormatting sqref="L22">
    <cfRule type="cellIs" priority="57" dxfId="330" operator="lessThan" stopIfTrue="1">
      <formula>L10+L18+L19+L20-L21-(0.01*(L10+L18+L19+L20-L21))</formula>
    </cfRule>
  </conditionalFormatting>
  <conditionalFormatting sqref="P24">
    <cfRule type="cellIs" priority="52" dxfId="330" operator="lessThan" stopIfTrue="1">
      <formula>0.99*(P22-P23)</formula>
    </cfRule>
  </conditionalFormatting>
  <conditionalFormatting sqref="P10">
    <cfRule type="cellIs" priority="53" dxfId="330" operator="lessThan" stopIfTrue="1">
      <formula>P8+P9-(0.01*(P8+P9))</formula>
    </cfRule>
  </conditionalFormatting>
  <conditionalFormatting sqref="P22">
    <cfRule type="cellIs" priority="54" dxfId="330" operator="lessThan" stopIfTrue="1">
      <formula>P10+P18+P19+P20-P21-(0.01*(P10+P18+P19+P20-P21))</formula>
    </cfRule>
  </conditionalFormatting>
  <conditionalFormatting sqref="R24">
    <cfRule type="cellIs" priority="49" dxfId="330" operator="lessThan" stopIfTrue="1">
      <formula>0.99*(R22-R23)</formula>
    </cfRule>
  </conditionalFormatting>
  <conditionalFormatting sqref="R10">
    <cfRule type="cellIs" priority="50" dxfId="330" operator="lessThan" stopIfTrue="1">
      <formula>R8+R9-(0.01*(R8+R9))</formula>
    </cfRule>
  </conditionalFormatting>
  <conditionalFormatting sqref="R22">
    <cfRule type="cellIs" priority="51" dxfId="330" operator="lessThan" stopIfTrue="1">
      <formula>R10+R18+R19+R20-R21-(0.01*(R10+R18+R19+R20-R21))</formula>
    </cfRule>
  </conditionalFormatting>
  <conditionalFormatting sqref="T24">
    <cfRule type="cellIs" priority="46" dxfId="330" operator="lessThan" stopIfTrue="1">
      <formula>0.99*(T22-T23)</formula>
    </cfRule>
  </conditionalFormatting>
  <conditionalFormatting sqref="T10">
    <cfRule type="cellIs" priority="47" dxfId="330" operator="lessThan" stopIfTrue="1">
      <formula>T8+T9-(0.01*(T8+T9))</formula>
    </cfRule>
  </conditionalFormatting>
  <conditionalFormatting sqref="T22">
    <cfRule type="cellIs" priority="48" dxfId="330" operator="lessThan" stopIfTrue="1">
      <formula>T10+T18+T19+T20-T21-(0.01*(T10+T18+T19+T20-T21))</formula>
    </cfRule>
  </conditionalFormatting>
  <conditionalFormatting sqref="V24">
    <cfRule type="cellIs" priority="43" dxfId="330" operator="lessThan" stopIfTrue="1">
      <formula>0.99*(V22-V23)</formula>
    </cfRule>
  </conditionalFormatting>
  <conditionalFormatting sqref="V10">
    <cfRule type="cellIs" priority="44" dxfId="330" operator="lessThan" stopIfTrue="1">
      <formula>V8+V9-(0.01*(V8+V9))</formula>
    </cfRule>
  </conditionalFormatting>
  <conditionalFormatting sqref="V22">
    <cfRule type="cellIs" priority="45" dxfId="330" operator="lessThan" stopIfTrue="1">
      <formula>V10+V18+V19+V20-V21-(0.01*(V10+V18+V19+V20-V21))</formula>
    </cfRule>
  </conditionalFormatting>
  <conditionalFormatting sqref="X24">
    <cfRule type="cellIs" priority="40" dxfId="330" operator="lessThan" stopIfTrue="1">
      <formula>0.99*(X22-X23)</formula>
    </cfRule>
  </conditionalFormatting>
  <conditionalFormatting sqref="X10">
    <cfRule type="cellIs" priority="41" dxfId="330" operator="lessThan" stopIfTrue="1">
      <formula>X8+X9-(0.01*(X8+X9))</formula>
    </cfRule>
  </conditionalFormatting>
  <conditionalFormatting sqref="X22">
    <cfRule type="cellIs" priority="42" dxfId="330" operator="lessThan" stopIfTrue="1">
      <formula>X10+X18+X19+X20-X21-(0.01*(X10+X18+X19+X20-X21))</formula>
    </cfRule>
  </conditionalFormatting>
  <conditionalFormatting sqref="BC23 BC16 BC9">
    <cfRule type="cellIs" priority="67" dxfId="330" operator="lessThan" stopIfTrue="1">
      <formula>#REF!+#REF!</formula>
    </cfRule>
    <cfRule type="cellIs" priority="68" dxfId="330" operator="lessThan" stopIfTrue="1">
      <formula>#REF!+BC12+BC13+BC14+BC15+#REF!</formula>
    </cfRule>
  </conditionalFormatting>
  <conditionalFormatting sqref="BC10 BC17 BC24">
    <cfRule type="cellIs" priority="69" dxfId="330" operator="lessThan" stopIfTrue="1">
      <formula>#REF!+#REF!</formula>
    </cfRule>
    <cfRule type="cellIs" priority="70" dxfId="330" operator="lessThan" stopIfTrue="1">
      <formula>BC12+BC13+BC14+BC15+#REF!+#REF!</formula>
    </cfRule>
  </conditionalFormatting>
  <conditionalFormatting sqref="BC11 BC18 BC25">
    <cfRule type="cellIs" priority="71" dxfId="330" operator="lessThan" stopIfTrue="1">
      <formula>#REF!+#REF!</formula>
    </cfRule>
    <cfRule type="cellIs" priority="72" dxfId="330" operator="lessThan" stopIfTrue="1">
      <formula>BC13+BC14+BC15+#REF!+#REF!+#REF!</formula>
    </cfRule>
  </conditionalFormatting>
  <conditionalFormatting sqref="BC8">
    <cfRule type="cellIs" priority="73" dxfId="330" operator="lessThan" stopIfTrue="1">
      <formula>#REF!+#REF!</formula>
    </cfRule>
    <cfRule type="cellIs" priority="74" dxfId="330" operator="lessThan" stopIfTrue="1">
      <formula>BC10+BC11+BC12+BC13+BC14+BC15</formula>
    </cfRule>
  </conditionalFormatting>
  <conditionalFormatting sqref="BC14">
    <cfRule type="cellIs" priority="75" dxfId="330" operator="lessThan" stopIfTrue="1">
      <formula>BC30+#REF!</formula>
    </cfRule>
    <cfRule type="cellIs" priority="76" dxfId="330" operator="lessThan" stopIfTrue="1">
      <formula>#REF!+#REF!+#REF!+#REF!+#REF!+BC27</formula>
    </cfRule>
  </conditionalFormatting>
  <conditionalFormatting sqref="BC15">
    <cfRule type="cellIs" priority="77" dxfId="330" operator="lessThan" stopIfTrue="1">
      <formula>BC31+#REF!</formula>
    </cfRule>
    <cfRule type="cellIs" priority="78" dxfId="330" operator="lessThan" stopIfTrue="1">
      <formula>#REF!+#REF!+#REF!+#REF!+BC27+BC29</formula>
    </cfRule>
  </conditionalFormatting>
  <conditionalFormatting sqref="BC13">
    <cfRule type="cellIs" priority="79" dxfId="330" operator="lessThan" stopIfTrue="1">
      <formula>BC29+#REF!</formula>
    </cfRule>
    <cfRule type="cellIs" priority="80" dxfId="330" operator="lessThan" stopIfTrue="1">
      <formula>BC15+#REF!+#REF!+#REF!+#REF!+#REF!</formula>
    </cfRule>
  </conditionalFormatting>
  <conditionalFormatting sqref="BC12">
    <cfRule type="cellIs" priority="81" dxfId="330" operator="lessThan" stopIfTrue="1">
      <formula>BC27+#REF!</formula>
    </cfRule>
    <cfRule type="cellIs" priority="82" dxfId="330" operator="lessThan" stopIfTrue="1">
      <formula>BC14+BC15+#REF!+#REF!+#REF!+#REF!</formula>
    </cfRule>
  </conditionalFormatting>
  <conditionalFormatting sqref="BC30">
    <cfRule type="cellIs" priority="83" dxfId="330" operator="lessThan" stopIfTrue="1">
      <formula>#REF!+BC38</formula>
    </cfRule>
    <cfRule type="cellIs" priority="84" dxfId="330" operator="lessThan" stopIfTrue="1">
      <formula>#REF!+#REF!+#REF!+#REF!+#REF!+#REF!</formula>
    </cfRule>
  </conditionalFormatting>
  <conditionalFormatting sqref="BC31">
    <cfRule type="cellIs" priority="85" dxfId="330" operator="lessThan" stopIfTrue="1">
      <formula>#REF!+BC40</formula>
    </cfRule>
    <cfRule type="cellIs" priority="86" dxfId="330"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87" dxfId="330" operator="equal" stopIfTrue="1">
      <formula>"&lt;&gt;"</formula>
    </cfRule>
  </conditionalFormatting>
  <conditionalFormatting sqref="BQ8:BQ31 CO8:CO31 CM8:CM31 CK8:CK31 CI8:CI31 CG8:CG31 CE8:CE31 CC8:CC31 CA8:CA31 BY8:BY31 BW8:BW31 BU8:BU31 BS8:BS31 CS8:CS31 BO8:BO31 CQ8:CQ31 BG8:BG31 BI8:BI31 BK8:BK31 BM8:BM31">
    <cfRule type="cellIs" priority="88" dxfId="330" operator="equal" stopIfTrue="1">
      <formula>"&gt; 25%"</formula>
    </cfRule>
  </conditionalFormatting>
  <conditionalFormatting sqref="BE8:BE31">
    <cfRule type="cellIs" priority="89" dxfId="330" operator="equal" stopIfTrue="1">
      <formula>"&gt; 100%"</formula>
    </cfRule>
  </conditionalFormatting>
  <conditionalFormatting sqref="BC27">
    <cfRule type="cellIs" priority="90" dxfId="330" operator="lessThan" stopIfTrue="1">
      <formula>#REF!+#REF!</formula>
    </cfRule>
    <cfRule type="cellIs" priority="91" dxfId="330" operator="lessThan" stopIfTrue="1">
      <formula>BC29+#REF!+#REF!+#REF!+#REF!+#REF!</formula>
    </cfRule>
  </conditionalFormatting>
  <conditionalFormatting sqref="BC26">
    <cfRule type="cellIs" priority="92" dxfId="330" operator="lessThan" stopIfTrue="1">
      <formula>#REF!+#REF!</formula>
    </cfRule>
    <cfRule type="cellIs" priority="93" dxfId="330" operator="lessThan" stopIfTrue="1">
      <formula>BC28+BC29+#REF!+#REF!+#REF!+#REF!</formula>
    </cfRule>
  </conditionalFormatting>
  <conditionalFormatting sqref="BC28">
    <cfRule type="cellIs" priority="94" dxfId="330" operator="lessThan" stopIfTrue="1">
      <formula>#REF!+#REF!</formula>
    </cfRule>
    <cfRule type="cellIs" priority="95" dxfId="330" operator="lessThan" stopIfTrue="1">
      <formula>#REF!+#REF!+#REF!+#REF!+#REF!+#REF!</formula>
    </cfRule>
  </conditionalFormatting>
  <conditionalFormatting sqref="BC29">
    <cfRule type="cellIs" priority="96" dxfId="330" operator="lessThan" stopIfTrue="1">
      <formula>#REF!+BC37</formula>
    </cfRule>
    <cfRule type="cellIs" priority="97" dxfId="330" operator="lessThan" stopIfTrue="1">
      <formula>BC31+#REF!+#REF!+#REF!+#REF!+#REF!</formula>
    </cfRule>
  </conditionalFormatting>
  <conditionalFormatting sqref="BC21">
    <cfRule type="cellIs" priority="98" dxfId="330" operator="lessThan" stopIfTrue="1">
      <formula>BC36+#REF!</formula>
    </cfRule>
    <cfRule type="cellIs" priority="99" dxfId="330" operator="lessThan" stopIfTrue="1">
      <formula>#REF!+#REF!+#REF!+#REF!+#REF!+BC33</formula>
    </cfRule>
  </conditionalFormatting>
  <conditionalFormatting sqref="BC22">
    <cfRule type="cellIs" priority="100" dxfId="330" operator="lessThan" stopIfTrue="1">
      <formula>BC37+#REF!</formula>
    </cfRule>
    <cfRule type="cellIs" priority="101" dxfId="330" operator="lessThan" stopIfTrue="1">
      <formula>#REF!+#REF!+#REF!+#REF!+BC33+BC35</formula>
    </cfRule>
  </conditionalFormatting>
  <conditionalFormatting sqref="BC20">
    <cfRule type="cellIs" priority="102" dxfId="330" operator="lessThan" stopIfTrue="1">
      <formula>BC35+#REF!</formula>
    </cfRule>
    <cfRule type="cellIs" priority="103" dxfId="330" operator="lessThan" stopIfTrue="1">
      <formula>BC22+#REF!+#REF!+#REF!+#REF!+#REF!</formula>
    </cfRule>
  </conditionalFormatting>
  <conditionalFormatting sqref="BC19">
    <cfRule type="cellIs" priority="104" dxfId="330" operator="lessThan" stopIfTrue="1">
      <formula>BC33+#REF!</formula>
    </cfRule>
    <cfRule type="cellIs" priority="105" dxfId="330" operator="lessThan" stopIfTrue="1">
      <formula>BC21+BC22+#REF!+#REF!+#REF!+#REF!</formula>
    </cfRule>
  </conditionalFormatting>
  <conditionalFormatting sqref="Z24">
    <cfRule type="cellIs" priority="37" dxfId="330" operator="lessThan" stopIfTrue="1">
      <formula>0.99*(Z22-Z23)</formula>
    </cfRule>
  </conditionalFormatting>
  <conditionalFormatting sqref="Z10">
    <cfRule type="cellIs" priority="38" dxfId="330" operator="lessThan" stopIfTrue="1">
      <formula>Z8+Z9-(0.01*(Z8+Z9))</formula>
    </cfRule>
  </conditionalFormatting>
  <conditionalFormatting sqref="Z22">
    <cfRule type="cellIs" priority="39" dxfId="330" operator="lessThan" stopIfTrue="1">
      <formula>Z10+Z18+Z19+Z20-Z21-(0.01*(Z10+Z18+Z19+Z20-Z21))</formula>
    </cfRule>
  </conditionalFormatting>
  <conditionalFormatting sqref="AB24">
    <cfRule type="cellIs" priority="34" dxfId="330" operator="lessThan" stopIfTrue="1">
      <formula>0.99*(AB22-AB23)</formula>
    </cfRule>
  </conditionalFormatting>
  <conditionalFormatting sqref="AB10">
    <cfRule type="cellIs" priority="35" dxfId="330" operator="lessThan" stopIfTrue="1">
      <formula>AB8+AB9-(0.01*(AB8+AB9))</formula>
    </cfRule>
  </conditionalFormatting>
  <conditionalFormatting sqref="AB22">
    <cfRule type="cellIs" priority="36" dxfId="330" operator="lessThan" stopIfTrue="1">
      <formula>AB10+AB18+AB19+AB20-AB21-(0.01*(AB10+AB18+AB19+AB20-AB21))</formula>
    </cfRule>
  </conditionalFormatting>
  <conditionalFormatting sqref="AD24">
    <cfRule type="cellIs" priority="31" dxfId="330" operator="lessThan" stopIfTrue="1">
      <formula>0.99*(AD22-AD23)</formula>
    </cfRule>
  </conditionalFormatting>
  <conditionalFormatting sqref="AD10">
    <cfRule type="cellIs" priority="32" dxfId="330" operator="lessThan" stopIfTrue="1">
      <formula>AD8+AD9-(0.01*(AD8+AD9))</formula>
    </cfRule>
  </conditionalFormatting>
  <conditionalFormatting sqref="AD22">
    <cfRule type="cellIs" priority="33" dxfId="330" operator="lessThan" stopIfTrue="1">
      <formula>AD10+AD18+AD19+AD20-AD21-(0.01*(AD10+AD18+AD19+AD20-AD21))</formula>
    </cfRule>
  </conditionalFormatting>
  <conditionalFormatting sqref="AJ24">
    <cfRule type="cellIs" priority="25" dxfId="330" operator="lessThan" stopIfTrue="1">
      <formula>0.99*(AJ22-AJ23)</formula>
    </cfRule>
  </conditionalFormatting>
  <conditionalFormatting sqref="AJ10">
    <cfRule type="cellIs" priority="26" dxfId="330" operator="lessThan" stopIfTrue="1">
      <formula>AJ8+AJ9-(0.01*(AJ8+AJ9))</formula>
    </cfRule>
  </conditionalFormatting>
  <conditionalFormatting sqref="AJ22">
    <cfRule type="cellIs" priority="27" dxfId="330" operator="lessThan" stopIfTrue="1">
      <formula>AJ10+AJ18+AJ19+AJ20-AJ21-(0.01*(AJ10+AJ18+AJ19+AJ20-AJ21))</formula>
    </cfRule>
  </conditionalFormatting>
  <conditionalFormatting sqref="AH24">
    <cfRule type="cellIs" priority="28" dxfId="330" operator="lessThan" stopIfTrue="1">
      <formula>0.99*(AH22-AH23)</formula>
    </cfRule>
  </conditionalFormatting>
  <conditionalFormatting sqref="AH10">
    <cfRule type="cellIs" priority="29" dxfId="330" operator="lessThan" stopIfTrue="1">
      <formula>AH8+AH9-(0.01*(AH8+AH9))</formula>
    </cfRule>
  </conditionalFormatting>
  <conditionalFormatting sqref="AH22">
    <cfRule type="cellIs" priority="30" dxfId="330" operator="lessThan" stopIfTrue="1">
      <formula>AH10+AH18+AH19+AH20-AH21-(0.01*(AH10+AH18+AH19+AH20-AH21))</formula>
    </cfRule>
  </conditionalFormatting>
  <conditionalFormatting sqref="AL24">
    <cfRule type="cellIs" priority="22" dxfId="330" operator="lessThan" stopIfTrue="1">
      <formula>0.99*(AL22-AL23)</formula>
    </cfRule>
  </conditionalFormatting>
  <conditionalFormatting sqref="AL10">
    <cfRule type="cellIs" priority="23" dxfId="330" operator="lessThan" stopIfTrue="1">
      <formula>AL8+AL9-(0.01*(AL8+AL9))</formula>
    </cfRule>
  </conditionalFormatting>
  <conditionalFormatting sqref="AL22">
    <cfRule type="cellIs" priority="24" dxfId="330" operator="lessThan" stopIfTrue="1">
      <formula>AL10+AL18+AL19+AL20-AL21-(0.01*(AL10+AL18+AL19+AL20-AL21))</formula>
    </cfRule>
  </conditionalFormatting>
  <conditionalFormatting sqref="AN24">
    <cfRule type="cellIs" priority="19" dxfId="330" operator="lessThan" stopIfTrue="1">
      <formula>0.99*(AN22-AN23)</formula>
    </cfRule>
  </conditionalFormatting>
  <conditionalFormatting sqref="AN10">
    <cfRule type="cellIs" priority="20" dxfId="330" operator="lessThan" stopIfTrue="1">
      <formula>AN8+AN9-(0.01*(AN8+AN9))</formula>
    </cfRule>
  </conditionalFormatting>
  <conditionalFormatting sqref="AN22">
    <cfRule type="cellIs" priority="21" dxfId="330" operator="lessThan" stopIfTrue="1">
      <formula>AN10+AN18+AN19+AN20-AN21-(0.01*(AN10+AN18+AN19+AN20-AN21))</formula>
    </cfRule>
  </conditionalFormatting>
  <conditionalFormatting sqref="AP24">
    <cfRule type="cellIs" priority="16" dxfId="330" operator="lessThan" stopIfTrue="1">
      <formula>0.99*(AP22-AP23)</formula>
    </cfRule>
  </conditionalFormatting>
  <conditionalFormatting sqref="AP10">
    <cfRule type="cellIs" priority="17" dxfId="330" operator="lessThan" stopIfTrue="1">
      <formula>AP8+AP9-(0.01*(AP8+AP9))</formula>
    </cfRule>
  </conditionalFormatting>
  <conditionalFormatting sqref="AP22">
    <cfRule type="cellIs" priority="18" dxfId="330" operator="lessThan" stopIfTrue="1">
      <formula>AP10+AP18+AP19+AP20-AP21-(0.01*(AP10+AP18+AP19+AP20-AP21))</formula>
    </cfRule>
  </conditionalFormatting>
  <conditionalFormatting sqref="AR24">
    <cfRule type="cellIs" priority="13" dxfId="330" operator="lessThan" stopIfTrue="1">
      <formula>0.99*(AR22-AR23)</formula>
    </cfRule>
  </conditionalFormatting>
  <conditionalFormatting sqref="AR10">
    <cfRule type="cellIs" priority="14" dxfId="330" operator="lessThan" stopIfTrue="1">
      <formula>AR8+AR9-(0.01*(AR8+AR9))</formula>
    </cfRule>
  </conditionalFormatting>
  <conditionalFormatting sqref="AR22">
    <cfRule type="cellIs" priority="15" dxfId="330" operator="lessThan" stopIfTrue="1">
      <formula>AR10+AR18+AR19+AR20-AR21-(0.01*(AR10+AR18+AR19+AR20-AR21))</formula>
    </cfRule>
  </conditionalFormatting>
  <conditionalFormatting sqref="AT24">
    <cfRule type="cellIs" priority="10" dxfId="330" operator="lessThan" stopIfTrue="1">
      <formula>0.99*(AT22-AT23)</formula>
    </cfRule>
  </conditionalFormatting>
  <conditionalFormatting sqref="AT10">
    <cfRule type="cellIs" priority="11" dxfId="330" operator="lessThan" stopIfTrue="1">
      <formula>AT8+AT9-(0.01*(AT8+AT9))</formula>
    </cfRule>
  </conditionalFormatting>
  <conditionalFormatting sqref="AT22">
    <cfRule type="cellIs" priority="12" dxfId="330" operator="lessThan" stopIfTrue="1">
      <formula>AT10+AT18+AT19+AT20-AT21-(0.01*(AT10+AT18+AT19+AT20-AT21))</formula>
    </cfRule>
  </conditionalFormatting>
  <conditionalFormatting sqref="AV24">
    <cfRule type="cellIs" priority="7" dxfId="330" operator="lessThan" stopIfTrue="1">
      <formula>0.99*(AV22-AV23)</formula>
    </cfRule>
  </conditionalFormatting>
  <conditionalFormatting sqref="AV10">
    <cfRule type="cellIs" priority="8" dxfId="330" operator="lessThan" stopIfTrue="1">
      <formula>AV8+AV9-(0.01*(AV8+AV9))</formula>
    </cfRule>
  </conditionalFormatting>
  <conditionalFormatting sqref="AV22">
    <cfRule type="cellIs" priority="9" dxfId="330" operator="lessThan" stopIfTrue="1">
      <formula>AV10+AV18+AV19+AV20-AV21-(0.01*(AV10+AV18+AV19+AV20-AV21))</formula>
    </cfRule>
  </conditionalFormatting>
  <conditionalFormatting sqref="AF24">
    <cfRule type="cellIs" priority="4" dxfId="330" operator="lessThan" stopIfTrue="1">
      <formula>0.99*(AF22-AF23)</formula>
    </cfRule>
  </conditionalFormatting>
  <conditionalFormatting sqref="AF10">
    <cfRule type="cellIs" priority="5" dxfId="330" operator="lessThan" stopIfTrue="1">
      <formula>AF8+AF9-(0.01*(AF8+AF9))</formula>
    </cfRule>
  </conditionalFormatting>
  <conditionalFormatting sqref="AF22">
    <cfRule type="cellIs" priority="6" dxfId="330" operator="lessThan" stopIfTrue="1">
      <formula>AF10+AF18+AF19+AF20-AF21-(0.01*(AF10+AF18+AF19+AF20-AF21))</formula>
    </cfRule>
  </conditionalFormatting>
  <conditionalFormatting sqref="N24">
    <cfRule type="cellIs" priority="1" dxfId="330" operator="lessThan" stopIfTrue="1">
      <formula>0.99*(N22-N23)</formula>
    </cfRule>
  </conditionalFormatting>
  <conditionalFormatting sqref="N10">
    <cfRule type="cellIs" priority="2" dxfId="330" operator="lessThan" stopIfTrue="1">
      <formula>N8+N9-(0.01*(N8+N9))</formula>
    </cfRule>
  </conditionalFormatting>
  <conditionalFormatting sqref="N22">
    <cfRule type="cellIs" priority="3" dxfId="330" operator="lessThan" stopIfTrue="1">
      <formula>N10+N18+N19+N20-N21-(0.01*(N10+N18+N19+N20-N21))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H67"/>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7.83203125" style="189" hidden="1" customWidth="1"/>
    <col min="2" max="2" width="10" style="190" hidden="1" customWidth="1"/>
    <col min="3" max="3" width="11" style="202" customWidth="1"/>
    <col min="4" max="4" width="40" style="202" customWidth="1"/>
    <col min="5" max="5" width="10.1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1.66796875" style="200" customWidth="1"/>
    <col min="52" max="52" width="7.16015625" style="200" customWidth="1"/>
    <col min="53" max="53" width="36.16015625" style="200" customWidth="1"/>
    <col min="54" max="54" width="10.66015625" style="200" customWidth="1"/>
    <col min="55" max="55" width="5.16015625" style="200" customWidth="1"/>
    <col min="56" max="56" width="2.16015625" style="200" customWidth="1"/>
    <col min="57" max="57" width="5.16015625" style="200" customWidth="1"/>
    <col min="58" max="58" width="1.5" style="200" customWidth="1"/>
    <col min="59" max="59" width="5.16015625" style="200" customWidth="1"/>
    <col min="60" max="60" width="1.5" style="200" customWidth="1"/>
    <col min="61" max="61" width="5.16015625" style="200" customWidth="1"/>
    <col min="62" max="62" width="1.5" style="200" customWidth="1"/>
    <col min="63" max="63" width="5.16015625" style="200" customWidth="1"/>
    <col min="64" max="64" width="1.5" style="200" customWidth="1"/>
    <col min="65" max="65" width="5.16015625" style="200" customWidth="1"/>
    <col min="66" max="66" width="1.5" style="200" customWidth="1"/>
    <col min="67" max="67" width="5.16015625" style="200" customWidth="1"/>
    <col min="68" max="68" width="1.5" style="200" customWidth="1"/>
    <col min="69" max="69" width="5.16015625" style="200" customWidth="1"/>
    <col min="70" max="70" width="1.5" style="200" customWidth="1"/>
    <col min="71" max="71" width="5.16015625" style="200" customWidth="1"/>
    <col min="72" max="72" width="1.5" style="200" customWidth="1"/>
    <col min="73" max="73" width="5.16015625" style="200" customWidth="1"/>
    <col min="74" max="74" width="1.5" style="200" customWidth="1"/>
    <col min="75" max="75" width="5.16015625" style="200" customWidth="1"/>
    <col min="76" max="76" width="1.5" style="200" customWidth="1"/>
    <col min="77" max="77" width="5.16015625" style="200" customWidth="1"/>
    <col min="78" max="78" width="1.5" style="200" customWidth="1"/>
    <col min="79" max="79" width="5.16015625" style="200" customWidth="1"/>
    <col min="80" max="80" width="1.5" style="200" customWidth="1"/>
    <col min="81" max="81" width="5.16015625" style="200" customWidth="1"/>
    <col min="82" max="82" width="1.5" style="200" customWidth="1"/>
    <col min="83" max="83" width="5.16015625" style="200" customWidth="1"/>
    <col min="84" max="84" width="1.5" style="200" customWidth="1"/>
    <col min="85" max="85" width="5.16015625" style="200" customWidth="1"/>
    <col min="86" max="86" width="1.5" style="200" customWidth="1"/>
    <col min="87" max="87" width="5.16015625" style="200" customWidth="1"/>
    <col min="88" max="88" width="1.5" style="200" customWidth="1"/>
    <col min="89" max="89" width="5.16015625" style="200" customWidth="1"/>
    <col min="90" max="90" width="1.5" style="200" customWidth="1"/>
    <col min="91" max="91" width="5.16015625" style="200" customWidth="1"/>
    <col min="92" max="92" width="1.5" style="200" customWidth="1"/>
    <col min="93" max="93" width="5.16015625" style="200" customWidth="1"/>
    <col min="94" max="94" width="1.5" style="200" customWidth="1"/>
    <col min="95" max="95" width="5.16015625" style="200" customWidth="1"/>
    <col min="96" max="96" width="1.5" style="200" customWidth="1"/>
    <col min="97" max="97" width="5.16015625" style="200" customWidth="1"/>
    <col min="98" max="16384" width="9.33203125" style="202" customWidth="1"/>
  </cols>
  <sheetData>
    <row r="1" spans="1:97" s="445" customFormat="1" ht="16.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602"/>
      <c r="AY1" s="224"/>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24" ht="6" customHeight="1">
      <c r="E2" s="344"/>
      <c r="F2" s="344"/>
      <c r="G2" s="344"/>
      <c r="H2" s="345"/>
      <c r="I2" s="346"/>
      <c r="J2" s="347"/>
      <c r="K2" s="346"/>
      <c r="L2" s="347"/>
      <c r="M2" s="346"/>
      <c r="N2" s="347"/>
      <c r="O2" s="346"/>
      <c r="P2" s="347"/>
      <c r="Q2" s="346"/>
      <c r="R2" s="347"/>
      <c r="S2" s="346"/>
      <c r="T2" s="347"/>
      <c r="U2" s="346"/>
      <c r="V2" s="347"/>
      <c r="W2" s="346"/>
      <c r="X2" s="348"/>
    </row>
    <row r="3" spans="1:100" s="365" customFormat="1" ht="17.25" customHeight="1">
      <c r="A3" s="290"/>
      <c r="B3" s="290">
        <v>508</v>
      </c>
      <c r="C3" s="349" t="s">
        <v>358</v>
      </c>
      <c r="D3" s="32" t="s">
        <v>483</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446"/>
      <c r="AZ3" s="356" t="s">
        <v>60</v>
      </c>
      <c r="BA3" s="447"/>
      <c r="BB3" s="447"/>
      <c r="BC3" s="363"/>
      <c r="BD3" s="363"/>
      <c r="BE3" s="363"/>
      <c r="BF3" s="363"/>
      <c r="BG3" s="819"/>
      <c r="BH3" s="819"/>
      <c r="BI3" s="819"/>
      <c r="BJ3" s="449"/>
      <c r="BK3" s="449"/>
      <c r="BL3" s="449"/>
      <c r="BM3" s="819"/>
      <c r="BN3" s="819"/>
      <c r="BO3" s="819"/>
      <c r="BP3" s="449"/>
      <c r="BQ3" s="449"/>
      <c r="BR3" s="449"/>
      <c r="BS3" s="449"/>
      <c r="BT3" s="449"/>
      <c r="BU3" s="449"/>
      <c r="BV3" s="449"/>
      <c r="BW3" s="363"/>
      <c r="BX3" s="363"/>
      <c r="BY3" s="363"/>
      <c r="BZ3" s="363"/>
      <c r="CA3" s="363"/>
      <c r="CB3" s="363"/>
      <c r="CC3" s="450"/>
      <c r="CD3" s="450"/>
      <c r="CE3" s="450"/>
      <c r="CF3" s="450"/>
      <c r="CG3" s="363"/>
      <c r="CH3" s="363"/>
      <c r="CI3" s="363"/>
      <c r="CJ3" s="363"/>
      <c r="CK3" s="363"/>
      <c r="CL3" s="363"/>
      <c r="CM3" s="363"/>
      <c r="CN3" s="363"/>
      <c r="CO3" s="363"/>
      <c r="CP3" s="363"/>
      <c r="CQ3" s="363"/>
      <c r="CR3" s="363"/>
      <c r="CS3" s="363"/>
      <c r="CT3" s="364"/>
      <c r="CU3" s="364"/>
      <c r="CV3" s="364"/>
    </row>
    <row r="4" spans="5:52" ht="5.25" customHeight="1">
      <c r="E4" s="366"/>
      <c r="F4" s="366"/>
      <c r="G4" s="366"/>
      <c r="Y4" s="353"/>
      <c r="Z4" s="348"/>
      <c r="AL4" s="345"/>
      <c r="AM4" s="346"/>
      <c r="AZ4" s="330"/>
    </row>
    <row r="5" spans="1:97" s="445" customFormat="1" ht="17.25" customHeight="1">
      <c r="A5" s="444"/>
      <c r="B5" s="190">
        <v>17</v>
      </c>
      <c r="C5" s="797" t="s">
        <v>232</v>
      </c>
      <c r="D5" s="797"/>
      <c r="E5" s="820"/>
      <c r="F5" s="820"/>
      <c r="G5" s="820"/>
      <c r="H5" s="820"/>
      <c r="I5" s="799"/>
      <c r="J5" s="799"/>
      <c r="K5" s="799"/>
      <c r="L5" s="799"/>
      <c r="M5" s="799"/>
      <c r="N5" s="799"/>
      <c r="O5" s="799"/>
      <c r="P5" s="799"/>
      <c r="Q5" s="799"/>
      <c r="R5" s="799"/>
      <c r="S5" s="799"/>
      <c r="T5" s="799"/>
      <c r="U5" s="799"/>
      <c r="V5" s="799"/>
      <c r="W5" s="799"/>
      <c r="X5" s="820"/>
      <c r="Y5" s="799"/>
      <c r="Z5" s="820"/>
      <c r="AA5" s="799"/>
      <c r="AB5" s="820"/>
      <c r="AC5" s="799"/>
      <c r="AD5" s="820"/>
      <c r="AE5" s="799"/>
      <c r="AF5" s="820"/>
      <c r="AG5" s="799"/>
      <c r="AH5" s="820"/>
      <c r="AI5" s="799"/>
      <c r="AJ5" s="799"/>
      <c r="AK5" s="799"/>
      <c r="AL5" s="820"/>
      <c r="AM5" s="799"/>
      <c r="AN5" s="820"/>
      <c r="AO5" s="367"/>
      <c r="AP5" s="367"/>
      <c r="AQ5" s="367"/>
      <c r="AR5" s="367"/>
      <c r="AS5" s="367"/>
      <c r="AT5" s="368"/>
      <c r="AU5" s="367"/>
      <c r="AV5" s="368"/>
      <c r="AW5" s="367"/>
      <c r="AX5" s="451"/>
      <c r="AY5" s="224"/>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J6" s="371"/>
      <c r="AK6" s="372"/>
      <c r="AL6" s="371"/>
      <c r="AM6" s="230"/>
      <c r="AN6" s="371"/>
      <c r="AO6" s="374"/>
      <c r="AP6" s="374"/>
      <c r="AQ6" s="374"/>
      <c r="AR6" s="374"/>
      <c r="AS6" s="374"/>
      <c r="AT6" s="331"/>
      <c r="AU6" s="375" t="s">
        <v>570</v>
      </c>
      <c r="AV6" s="331"/>
      <c r="AW6" s="375"/>
      <c r="AX6" s="331"/>
      <c r="AY6" s="454"/>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3"/>
      <c r="AJ7" s="243">
        <v>2009</v>
      </c>
      <c r="AK7" s="244"/>
      <c r="AL7" s="243">
        <v>2010</v>
      </c>
      <c r="AM7" s="244"/>
      <c r="AN7" s="243">
        <v>2011</v>
      </c>
      <c r="AO7" s="244"/>
      <c r="AP7" s="243">
        <v>2012</v>
      </c>
      <c r="AQ7" s="244"/>
      <c r="AR7" s="243">
        <v>2013</v>
      </c>
      <c r="AS7" s="244"/>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211" customFormat="1" ht="27" customHeight="1">
      <c r="A8" s="189"/>
      <c r="B8" s="247">
        <v>275</v>
      </c>
      <c r="C8" s="384">
        <v>1</v>
      </c>
      <c r="D8" s="264" t="s">
        <v>16</v>
      </c>
      <c r="E8" s="265" t="s">
        <v>360</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24"/>
      <c r="AV8" s="642"/>
      <c r="AW8" s="624"/>
      <c r="AY8" s="200"/>
      <c r="AZ8" s="388">
        <v>1</v>
      </c>
      <c r="BA8" s="267" t="s">
        <v>16</v>
      </c>
      <c r="BB8" s="455" t="s">
        <v>348</v>
      </c>
      <c r="BC8" s="255" t="s">
        <v>97</v>
      </c>
      <c r="BD8" s="647"/>
      <c r="BE8" s="82" t="str">
        <f>IF(OR(ISBLANK(F8),ISBLANK(H8)),"N/A",IF(ABS((H8-F8)/F8)&gt;1,"&gt; 100%","ok"))</f>
        <v>N/A</v>
      </c>
      <c r="BF8" s="647"/>
      <c r="BG8" s="85" t="str">
        <f>IF(OR(ISBLANK(H8),ISBLANK(J8)),"N/A",IF(ABS((J8-H8)/H8)&gt;0.25,"&gt; 25%","ok"))</f>
        <v>N/A</v>
      </c>
      <c r="BH8" s="85"/>
      <c r="BI8" s="85" t="str">
        <f>IF(OR(ISBLANK(J8),ISBLANK(L8)),"N/A",IF(ABS((L8-J8)/J8)&gt;0.25,"&gt; 25%","ok"))</f>
        <v>N/A</v>
      </c>
      <c r="BJ8" s="85"/>
      <c r="BK8" s="85" t="str">
        <f>IF(OR(ISBLANK(L8),ISBLANK(N8)),"N/A",IF(ABS((N8-L8)/L8)&gt;0.25,"&gt; 25%","ok"))</f>
        <v>N/A</v>
      </c>
      <c r="BL8" s="85"/>
      <c r="BM8" s="85" t="str">
        <f>IF(OR(ISBLANK(N8),ISBLANK(P8)),"N/A",IF(ABS((P8-N8)/N8)&gt;0.25,"&gt; 25%","ok"))</f>
        <v>N/A</v>
      </c>
      <c r="BN8" s="85"/>
      <c r="BO8" s="85" t="str">
        <f aca="true" t="shared" si="0" ref="BO8:BO16">IF(OR(ISBLANK(P8),ISBLANK(R8)),"N/A",IF(ABS((R8-P8)/P8)&gt;0.25,"&gt; 25%","ok"))</f>
        <v>N/A</v>
      </c>
      <c r="BP8" s="85"/>
      <c r="BQ8" s="85" t="str">
        <f aca="true" t="shared" si="1" ref="BQ8:BQ16">IF(OR(ISBLANK(R8),ISBLANK(T8)),"N/A",IF(ABS((T8-R8)/R8)&gt;0.25,"&gt; 25%","ok"))</f>
        <v>N/A</v>
      </c>
      <c r="BR8" s="85"/>
      <c r="BS8" s="85" t="str">
        <f aca="true" t="shared" si="2" ref="BS8:BS16">IF(OR(ISBLANK(T8),ISBLANK(V8)),"N/A",IF(ABS((V8-T8)/T8)&gt;0.25,"&gt; 25%","ok"))</f>
        <v>N/A</v>
      </c>
      <c r="BT8" s="85"/>
      <c r="BU8" s="85" t="str">
        <f aca="true" t="shared" si="3" ref="BU8:BU16">IF(OR(ISBLANK(V8),ISBLANK(X8)),"N/A",IF(ABS((X8-V8)/V8)&gt;0.25,"&gt; 25%","ok"))</f>
        <v>N/A</v>
      </c>
      <c r="BV8" s="85"/>
      <c r="BW8" s="85" t="str">
        <f aca="true" t="shared" si="4" ref="BW8:BW16">IF(OR(ISBLANK(X8),ISBLANK(Z8)),"N/A",IF(ABS((Z8-X8)/X8)&gt;0.25,"&gt; 25%","ok"))</f>
        <v>N/A</v>
      </c>
      <c r="BX8" s="85"/>
      <c r="BY8" s="85" t="str">
        <f aca="true" t="shared" si="5" ref="BY8:BY16">IF(OR(ISBLANK(Z8),ISBLANK(AB8)),"N/A",IF(ABS((AB8-Z8)/Z8)&gt;0.25,"&gt; 25%","ok"))</f>
        <v>N/A</v>
      </c>
      <c r="BZ8" s="85"/>
      <c r="CA8" s="85" t="str">
        <f aca="true" t="shared" si="6" ref="CA8:CA16">IF(OR(ISBLANK(AB8),ISBLANK(AD8)),"N/A",IF(ABS((AD8-AB8)/AB8)&gt;0.25,"&gt; 25%","ok"))</f>
        <v>N/A</v>
      </c>
      <c r="CB8" s="85"/>
      <c r="CC8" s="85" t="str">
        <f aca="true" t="shared" si="7" ref="CC8:CC16">IF(OR(ISBLANK(AD8),ISBLANK(AF8)),"N/A",IF(ABS((AF8-AD8)/AD8)&gt;0.25,"&gt; 25%","ok"))</f>
        <v>N/A</v>
      </c>
      <c r="CD8" s="85"/>
      <c r="CE8" s="85" t="str">
        <f aca="true" t="shared" si="8" ref="CE8:CE16">IF(OR(ISBLANK(AF8),ISBLANK(AH8)),"N/A",IF(ABS((AH8-AF8)/AF8)&gt;0.25,"&gt; 25%","ok"))</f>
        <v>N/A</v>
      </c>
      <c r="CF8" s="85"/>
      <c r="CG8" s="85" t="str">
        <f aca="true" t="shared" si="9" ref="CG8:CG16">IF(OR(ISBLANK(AH8),ISBLANK(AJ8)),"N/A",IF(ABS((AJ8-AH8)/AH8)&gt;0.25,"&gt; 25%","ok"))</f>
        <v>N/A</v>
      </c>
      <c r="CH8" s="85"/>
      <c r="CI8" s="85" t="str">
        <f aca="true" t="shared" si="10" ref="CI8:CI16">IF(OR(ISBLANK(AJ8),ISBLANK(AL8)),"N/A",IF(ABS((AL8-AJ8)/AJ8)&gt;0.25,"&gt; 25%","ok"))</f>
        <v>N/A</v>
      </c>
      <c r="CJ8" s="85"/>
      <c r="CK8" s="85" t="str">
        <f aca="true" t="shared" si="11" ref="CK8:CK16">IF(OR(ISBLANK(AL8),ISBLANK(AN8)),"N/A",IF(ABS((AN8-AL8)/AL8)&gt;0.25,"&gt; 25%","ok"))</f>
        <v>N/A</v>
      </c>
      <c r="CL8" s="85"/>
      <c r="CM8" s="85" t="str">
        <f>IF(OR(ISBLANK(AN8),ISBLANK(AP8)),"N/A",IF(ABS((AP8-AN8)/AN8)&gt;0.25,"&gt; 25%","ok"))</f>
        <v>N/A</v>
      </c>
      <c r="CN8" s="85"/>
      <c r="CO8" s="85" t="str">
        <f>IF(OR(ISBLANK(AP8),ISBLANK(AR8)),"N/A",IF(ABS((AR8-AP8)/AP8)&gt;0.25,"&gt; 25%","ok"))</f>
        <v>N/A</v>
      </c>
      <c r="CP8" s="85"/>
      <c r="CQ8" s="85" t="str">
        <f>IF(OR(ISBLANK(AR8),ISBLANK(AT8)),"N/A",IF(ABS((AT8-AR8)/AR8)&gt;0.25,"&gt; 25%","ok"))</f>
        <v>N/A</v>
      </c>
      <c r="CR8" s="85"/>
      <c r="CS8" s="85" t="str">
        <f>IF(OR(ISBLANK(AT8),ISBLANK(AV8)),"N/A",IF(ABS((AV8-AT8)/AT8)&gt;0.25,"&gt; 25%","ok"))</f>
        <v>N/A</v>
      </c>
    </row>
    <row r="9" spans="1:97" s="211" customFormat="1" ht="15" customHeight="1">
      <c r="A9" s="189"/>
      <c r="B9" s="247">
        <v>2416</v>
      </c>
      <c r="C9" s="265">
        <v>2</v>
      </c>
      <c r="D9" s="262" t="s">
        <v>17</v>
      </c>
      <c r="E9" s="265" t="s">
        <v>360</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Y9" s="200"/>
      <c r="AZ9" s="84">
        <v>2</v>
      </c>
      <c r="BA9" s="258" t="s">
        <v>17</v>
      </c>
      <c r="BB9" s="84" t="s">
        <v>360</v>
      </c>
      <c r="BC9" s="84" t="s">
        <v>97</v>
      </c>
      <c r="BD9" s="647"/>
      <c r="BE9" s="82" t="str">
        <f aca="true" t="shared" si="12" ref="BE9:BE16">IF(OR(ISBLANK(F9),ISBLANK(H9)),"N/A",IF(ABS((H9-F9)/F9)&gt;1,"&gt; 100%","ok"))</f>
        <v>N/A</v>
      </c>
      <c r="BF9" s="647"/>
      <c r="BG9" s="85" t="str">
        <f>IF(OR(ISBLANK(H9),ISBLANK(J9)),"N/A",IF(ABS((J9-H9)/H9)&gt;0.25,"&gt; 25%","ok"))</f>
        <v>N/A</v>
      </c>
      <c r="BH9" s="85"/>
      <c r="BI9" s="85" t="str">
        <f>IF(OR(ISBLANK(J9),ISBLANK(L9)),"N/A",IF(ABS((L9-J9)/J9)&gt;0.25,"&gt; 25%","ok"))</f>
        <v>N/A</v>
      </c>
      <c r="BJ9" s="85"/>
      <c r="BK9" s="85" t="str">
        <f>IF(OR(ISBLANK(L9),ISBLANK(N9)),"N/A",IF(ABS((N9-L9)/L9)&gt;0.25,"&gt; 25%","ok"))</f>
        <v>N/A</v>
      </c>
      <c r="BL9" s="85"/>
      <c r="BM9" s="85" t="str">
        <f>IF(OR(ISBLANK(N9),ISBLANK(P9)),"N/A",IF(ABS((P9-N9)/N9)&gt;0.25,"&gt; 25%","ok"))</f>
        <v>N/A</v>
      </c>
      <c r="BN9" s="85"/>
      <c r="BO9" s="85" t="str">
        <f t="shared" si="0"/>
        <v>N/A</v>
      </c>
      <c r="BP9" s="85"/>
      <c r="BQ9" s="85" t="str">
        <f t="shared" si="1"/>
        <v>N/A</v>
      </c>
      <c r="BR9" s="85"/>
      <c r="BS9" s="85" t="str">
        <f t="shared" si="2"/>
        <v>N/A</v>
      </c>
      <c r="BT9" s="85"/>
      <c r="BU9" s="85" t="str">
        <f t="shared" si="3"/>
        <v>N/A</v>
      </c>
      <c r="BV9" s="85"/>
      <c r="BW9" s="85" t="str">
        <f t="shared" si="4"/>
        <v>N/A</v>
      </c>
      <c r="BX9" s="85"/>
      <c r="BY9" s="85" t="str">
        <f t="shared" si="5"/>
        <v>N/A</v>
      </c>
      <c r="BZ9" s="85"/>
      <c r="CA9" s="85" t="str">
        <f t="shared" si="6"/>
        <v>N/A</v>
      </c>
      <c r="CB9" s="85"/>
      <c r="CC9" s="85" t="str">
        <f t="shared" si="7"/>
        <v>N/A</v>
      </c>
      <c r="CD9" s="85"/>
      <c r="CE9" s="85" t="str">
        <f t="shared" si="8"/>
        <v>N/A</v>
      </c>
      <c r="CF9" s="85"/>
      <c r="CG9" s="85" t="str">
        <f t="shared" si="9"/>
        <v>N/A</v>
      </c>
      <c r="CH9" s="85"/>
      <c r="CI9" s="85" t="str">
        <f t="shared" si="10"/>
        <v>N/A</v>
      </c>
      <c r="CJ9" s="85"/>
      <c r="CK9" s="85" t="str">
        <f t="shared" si="11"/>
        <v>N/A</v>
      </c>
      <c r="CL9" s="85"/>
      <c r="CM9" s="85" t="str">
        <f aca="true" t="shared" si="13" ref="CM9:CM20">IF(OR(ISBLANK(AN9),ISBLANK(AP9)),"N/A",IF(ABS((AP9-AN9)/AN9)&gt;0.25,"&gt; 25%","ok"))</f>
        <v>N/A</v>
      </c>
      <c r="CN9" s="85"/>
      <c r="CO9" s="85" t="str">
        <f>IF(OR(ISBLANK(AP9),ISBLANK(AR9)),"N/A",IF(ABS((AR9-AP9)/AP9)&gt;0.25,"&gt; 25%","ok"))</f>
        <v>N/A</v>
      </c>
      <c r="CP9" s="85"/>
      <c r="CQ9" s="85" t="str">
        <f>IF(OR(ISBLANK(AR9),ISBLANK(AT9)),"N/A",IF(ABS((AT9-AR9)/AR9)&gt;0.25,"&gt; 25%","ok"))</f>
        <v>N/A</v>
      </c>
      <c r="CR9" s="85"/>
      <c r="CS9" s="85" t="str">
        <f aca="true" t="shared" si="14" ref="CS9:CS20">IF(OR(ISBLANK(AT9),ISBLANK(AV9)),"N/A",IF(ABS((AV9-AT9)/AT9)&gt;0.25,"&gt; 25%","ok"))</f>
        <v>N/A</v>
      </c>
    </row>
    <row r="10" spans="1:97" s="457" customFormat="1" ht="35.25" customHeight="1">
      <c r="A10" s="456" t="s">
        <v>77</v>
      </c>
      <c r="B10" s="247">
        <v>29</v>
      </c>
      <c r="C10" s="384">
        <v>3</v>
      </c>
      <c r="D10" s="264" t="s">
        <v>59</v>
      </c>
      <c r="E10" s="265" t="s">
        <v>360</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Y10" s="458"/>
      <c r="AZ10" s="388">
        <v>3</v>
      </c>
      <c r="BA10" s="267" t="s">
        <v>18</v>
      </c>
      <c r="BB10" s="388" t="s">
        <v>348</v>
      </c>
      <c r="BC10" s="84" t="s">
        <v>97</v>
      </c>
      <c r="BD10" s="647"/>
      <c r="BE10" s="85" t="str">
        <f t="shared" si="12"/>
        <v>N/A</v>
      </c>
      <c r="BF10" s="647"/>
      <c r="BG10" s="85" t="str">
        <f>IF(OR(ISBLANK(H10),ISBLANK(J10)),"N/A",IF(ABS((J10-H10)/H10)&gt;0.25,"&gt; 25%","ok"))</f>
        <v>N/A</v>
      </c>
      <c r="BH10" s="85"/>
      <c r="BI10" s="85" t="str">
        <f>IF(OR(ISBLANK(J10),ISBLANK(L10)),"N/A",IF(ABS((L10-J10)/J10)&gt;0.25,"&gt; 25%","ok"))</f>
        <v>N/A</v>
      </c>
      <c r="BJ10" s="85"/>
      <c r="BK10" s="85" t="str">
        <f>IF(OR(ISBLANK(L10),ISBLANK(N10)),"N/A",IF(ABS((N10-L10)/L10)&gt;0.25,"&gt; 25%","ok"))</f>
        <v>N/A</v>
      </c>
      <c r="BL10" s="85"/>
      <c r="BM10" s="85" t="str">
        <f>IF(OR(ISBLANK(N10),ISBLANK(P10)),"N/A",IF(ABS((P10-N10)/N10)&gt;0.25,"&gt; 25%","ok"))</f>
        <v>N/A</v>
      </c>
      <c r="BN10" s="85"/>
      <c r="BO10" s="85" t="str">
        <f t="shared" si="0"/>
        <v>N/A</v>
      </c>
      <c r="BP10" s="85"/>
      <c r="BQ10" s="85" t="str">
        <f t="shared" si="1"/>
        <v>N/A</v>
      </c>
      <c r="BR10" s="85"/>
      <c r="BS10" s="85" t="str">
        <f t="shared" si="2"/>
        <v>N/A</v>
      </c>
      <c r="BT10" s="85"/>
      <c r="BU10" s="85" t="str">
        <f t="shared" si="3"/>
        <v>N/A</v>
      </c>
      <c r="BV10" s="85"/>
      <c r="BW10" s="85" t="str">
        <f t="shared" si="4"/>
        <v>N/A</v>
      </c>
      <c r="BX10" s="85"/>
      <c r="BY10" s="85" t="str">
        <f t="shared" si="5"/>
        <v>N/A</v>
      </c>
      <c r="BZ10" s="85"/>
      <c r="CA10" s="85" t="str">
        <f t="shared" si="6"/>
        <v>N/A</v>
      </c>
      <c r="CB10" s="85"/>
      <c r="CC10" s="85" t="str">
        <f t="shared" si="7"/>
        <v>N/A</v>
      </c>
      <c r="CD10" s="85"/>
      <c r="CE10" s="85" t="str">
        <f t="shared" si="8"/>
        <v>N/A</v>
      </c>
      <c r="CF10" s="85"/>
      <c r="CG10" s="85" t="str">
        <f t="shared" si="9"/>
        <v>N/A</v>
      </c>
      <c r="CH10" s="85"/>
      <c r="CI10" s="85" t="str">
        <f t="shared" si="10"/>
        <v>N/A</v>
      </c>
      <c r="CJ10" s="85"/>
      <c r="CK10" s="85" t="str">
        <f t="shared" si="11"/>
        <v>N/A</v>
      </c>
      <c r="CL10" s="85"/>
      <c r="CM10" s="85" t="str">
        <f t="shared" si="13"/>
        <v>N/A</v>
      </c>
      <c r="CN10" s="85"/>
      <c r="CO10" s="85" t="str">
        <f>IF(OR(ISBLANK(AP10),ISBLANK(AR10)),"N/A",IF(ABS((AR10-AP10)/AP10)&gt;0.25,"&gt; 25%","ok"))</f>
        <v>N/A</v>
      </c>
      <c r="CP10" s="85"/>
      <c r="CQ10" s="85" t="str">
        <f>IF(OR(ISBLANK(AR10),ISBLANK(AT10)),"N/A",IF(ABS((AT10-AR10)/AR10)&gt;0.25,"&gt; 25%","ok"))</f>
        <v>N/A</v>
      </c>
      <c r="CR10" s="85"/>
      <c r="CS10" s="85" t="str">
        <f t="shared" si="14"/>
        <v>N/A</v>
      </c>
    </row>
    <row r="11" spans="1:97" s="457" customFormat="1" ht="15" customHeight="1">
      <c r="A11" s="459"/>
      <c r="B11" s="247">
        <v>5008</v>
      </c>
      <c r="C11" s="460"/>
      <c r="D11" s="461" t="s">
        <v>19</v>
      </c>
      <c r="E11" s="384"/>
      <c r="F11" s="612"/>
      <c r="G11" s="627"/>
      <c r="H11" s="612"/>
      <c r="I11" s="627"/>
      <c r="J11" s="612"/>
      <c r="K11" s="627"/>
      <c r="L11" s="612"/>
      <c r="M11" s="627"/>
      <c r="N11" s="612"/>
      <c r="O11" s="627"/>
      <c r="P11" s="612"/>
      <c r="Q11" s="627"/>
      <c r="R11" s="612"/>
      <c r="S11" s="627"/>
      <c r="T11" s="612"/>
      <c r="U11" s="627"/>
      <c r="V11" s="612"/>
      <c r="W11" s="627"/>
      <c r="X11" s="612"/>
      <c r="Y11" s="627"/>
      <c r="Z11" s="612"/>
      <c r="AA11" s="627"/>
      <c r="AB11" s="612"/>
      <c r="AC11" s="627"/>
      <c r="AD11" s="612"/>
      <c r="AE11" s="627"/>
      <c r="AF11" s="612"/>
      <c r="AG11" s="627"/>
      <c r="AH11" s="612"/>
      <c r="AI11" s="627"/>
      <c r="AJ11" s="612"/>
      <c r="AK11" s="627"/>
      <c r="AL11" s="612"/>
      <c r="AM11" s="627"/>
      <c r="AN11" s="612"/>
      <c r="AO11" s="627"/>
      <c r="AP11" s="612"/>
      <c r="AQ11" s="627"/>
      <c r="AR11" s="612"/>
      <c r="AS11" s="627"/>
      <c r="AT11" s="612"/>
      <c r="AU11" s="627"/>
      <c r="AV11" s="612"/>
      <c r="AW11" s="627"/>
      <c r="AY11" s="458"/>
      <c r="AZ11" s="408"/>
      <c r="BA11" s="406" t="s">
        <v>19</v>
      </c>
      <c r="BB11" s="388"/>
      <c r="BC11" s="101"/>
      <c r="BD11" s="646"/>
      <c r="BE11" s="82"/>
      <c r="BF11" s="646"/>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row>
    <row r="12" spans="1:97" s="463" customFormat="1" ht="15" customHeight="1">
      <c r="A12" s="240"/>
      <c r="B12" s="247">
        <v>38</v>
      </c>
      <c r="C12" s="250">
        <v>4</v>
      </c>
      <c r="D12" s="462" t="s">
        <v>378</v>
      </c>
      <c r="E12" s="256" t="s">
        <v>360</v>
      </c>
      <c r="F12" s="610"/>
      <c r="G12" s="622"/>
      <c r="H12" s="610"/>
      <c r="I12" s="622"/>
      <c r="J12" s="610"/>
      <c r="K12" s="622"/>
      <c r="L12" s="610"/>
      <c r="M12" s="622"/>
      <c r="N12" s="610"/>
      <c r="O12" s="622"/>
      <c r="P12" s="610"/>
      <c r="Q12" s="622"/>
      <c r="R12" s="610"/>
      <c r="S12" s="622"/>
      <c r="T12" s="610"/>
      <c r="U12" s="622"/>
      <c r="V12" s="610"/>
      <c r="W12" s="622"/>
      <c r="X12" s="610"/>
      <c r="Y12" s="622"/>
      <c r="Z12" s="610"/>
      <c r="AA12" s="622"/>
      <c r="AB12" s="610"/>
      <c r="AC12" s="622"/>
      <c r="AD12" s="610"/>
      <c r="AE12" s="622"/>
      <c r="AF12" s="610"/>
      <c r="AG12" s="622"/>
      <c r="AH12" s="610"/>
      <c r="AI12" s="622"/>
      <c r="AJ12" s="610"/>
      <c r="AK12" s="622"/>
      <c r="AL12" s="610"/>
      <c r="AM12" s="622"/>
      <c r="AN12" s="610"/>
      <c r="AO12" s="622"/>
      <c r="AP12" s="610"/>
      <c r="AQ12" s="622"/>
      <c r="AR12" s="610"/>
      <c r="AS12" s="622"/>
      <c r="AT12" s="610"/>
      <c r="AU12" s="622"/>
      <c r="AV12" s="610"/>
      <c r="AW12" s="622"/>
      <c r="AY12" s="464"/>
      <c r="AZ12" s="101">
        <v>4</v>
      </c>
      <c r="BA12" s="465" t="s">
        <v>378</v>
      </c>
      <c r="BB12" s="84" t="s">
        <v>360</v>
      </c>
      <c r="BC12" s="82" t="s">
        <v>97</v>
      </c>
      <c r="BD12" s="646"/>
      <c r="BE12" s="82" t="str">
        <f t="shared" si="12"/>
        <v>N/A</v>
      </c>
      <c r="BF12" s="646"/>
      <c r="BG12" s="85" t="str">
        <f>IF(OR(ISBLANK(H12),ISBLANK(J12)),"N/A",IF(ABS((J12-H12)/H12)&gt;0.25,"&gt; 25%","ok"))</f>
        <v>N/A</v>
      </c>
      <c r="BH12" s="85"/>
      <c r="BI12" s="85" t="str">
        <f>IF(OR(ISBLANK(J12),ISBLANK(L12)),"N/A",IF(ABS((L12-J12)/J12)&gt;0.25,"&gt; 25%","ok"))</f>
        <v>N/A</v>
      </c>
      <c r="BJ12" s="85"/>
      <c r="BK12" s="85" t="str">
        <f>IF(OR(ISBLANK(L12),ISBLANK(N12)),"N/A",IF(ABS((N12-L12)/L12)&gt;0.25,"&gt; 25%","ok"))</f>
        <v>N/A</v>
      </c>
      <c r="BL12" s="85"/>
      <c r="BM12" s="85" t="str">
        <f>IF(OR(ISBLANK(N12),ISBLANK(P12)),"N/A",IF(ABS((P12-N12)/N12)&gt;0.25,"&gt; 25%","ok"))</f>
        <v>N/A</v>
      </c>
      <c r="BN12" s="85"/>
      <c r="BO12" s="85" t="str">
        <f t="shared" si="0"/>
        <v>N/A</v>
      </c>
      <c r="BP12" s="85"/>
      <c r="BQ12" s="85" t="str">
        <f t="shared" si="1"/>
        <v>N/A</v>
      </c>
      <c r="BR12" s="85"/>
      <c r="BS12" s="85" t="str">
        <f t="shared" si="2"/>
        <v>N/A</v>
      </c>
      <c r="BT12" s="85"/>
      <c r="BU12" s="85" t="str">
        <f t="shared" si="3"/>
        <v>N/A</v>
      </c>
      <c r="BV12" s="85"/>
      <c r="BW12" s="85" t="str">
        <f t="shared" si="4"/>
        <v>N/A</v>
      </c>
      <c r="BX12" s="85"/>
      <c r="BY12" s="85" t="str">
        <f t="shared" si="5"/>
        <v>N/A</v>
      </c>
      <c r="BZ12" s="85"/>
      <c r="CA12" s="85" t="str">
        <f t="shared" si="6"/>
        <v>N/A</v>
      </c>
      <c r="CB12" s="85"/>
      <c r="CC12" s="85" t="str">
        <f t="shared" si="7"/>
        <v>N/A</v>
      </c>
      <c r="CD12" s="85"/>
      <c r="CE12" s="85" t="str">
        <f t="shared" si="8"/>
        <v>N/A</v>
      </c>
      <c r="CF12" s="85"/>
      <c r="CG12" s="85" t="str">
        <f t="shared" si="9"/>
        <v>N/A</v>
      </c>
      <c r="CH12" s="85"/>
      <c r="CI12" s="85" t="str">
        <f t="shared" si="10"/>
        <v>N/A</v>
      </c>
      <c r="CJ12" s="85"/>
      <c r="CK12" s="85" t="str">
        <f t="shared" si="11"/>
        <v>N/A</v>
      </c>
      <c r="CL12" s="85"/>
      <c r="CM12" s="85" t="str">
        <f t="shared" si="13"/>
        <v>N/A</v>
      </c>
      <c r="CN12" s="85"/>
      <c r="CO12" s="85" t="str">
        <f>IF(OR(ISBLANK(AP12),ISBLANK(AR12)),"N/A",IF(ABS((AR12-AP12)/AP12)&gt;0.25,"&gt; 25%","ok"))</f>
        <v>N/A</v>
      </c>
      <c r="CP12" s="85"/>
      <c r="CQ12" s="85" t="str">
        <f>IF(OR(ISBLANK(AR12),ISBLANK(AT12)),"N/A",IF(ABS((AT12-AR12)/AR12)&gt;0.25,"&gt; 25%","ok"))</f>
        <v>N/A</v>
      </c>
      <c r="CR12" s="85"/>
      <c r="CS12" s="85" t="str">
        <f t="shared" si="14"/>
        <v>N/A</v>
      </c>
    </row>
    <row r="13" spans="2:97" ht="15" customHeight="1">
      <c r="B13" s="247">
        <v>81</v>
      </c>
      <c r="C13" s="265">
        <v>5</v>
      </c>
      <c r="D13" s="466" t="s">
        <v>137</v>
      </c>
      <c r="E13" s="256"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Z13" s="84">
        <v>5</v>
      </c>
      <c r="BA13" s="467" t="s">
        <v>566</v>
      </c>
      <c r="BB13" s="84" t="s">
        <v>360</v>
      </c>
      <c r="BC13" s="84" t="s">
        <v>97</v>
      </c>
      <c r="BD13" s="647"/>
      <c r="BE13" s="82" t="str">
        <f t="shared" si="12"/>
        <v>N/A</v>
      </c>
      <c r="BF13" s="647"/>
      <c r="BG13" s="85" t="str">
        <f>IF(OR(ISBLANK(H13),ISBLANK(J13)),"N/A",IF(ABS((J13-H13)/H13)&gt;0.25,"&gt; 25%","ok"))</f>
        <v>N/A</v>
      </c>
      <c r="BH13" s="85"/>
      <c r="BI13" s="85" t="str">
        <f>IF(OR(ISBLANK(J13),ISBLANK(L13)),"N/A",IF(ABS((L13-J13)/J13)&gt;0.25,"&gt; 25%","ok"))</f>
        <v>N/A</v>
      </c>
      <c r="BJ13" s="85"/>
      <c r="BK13" s="85" t="str">
        <f>IF(OR(ISBLANK(L13),ISBLANK(N13)),"N/A",IF(ABS((N13-L13)/L13)&gt;0.25,"&gt; 25%","ok"))</f>
        <v>N/A</v>
      </c>
      <c r="BL13" s="85"/>
      <c r="BM13" s="85" t="str">
        <f>IF(OR(ISBLANK(N13),ISBLANK(P13)),"N/A",IF(ABS((P13-N13)/N13)&gt;0.25,"&gt; 25%","ok"))</f>
        <v>N/A</v>
      </c>
      <c r="BN13" s="85"/>
      <c r="BO13" s="85" t="str">
        <f t="shared" si="0"/>
        <v>N/A</v>
      </c>
      <c r="BP13" s="85"/>
      <c r="BQ13" s="85" t="str">
        <f t="shared" si="1"/>
        <v>N/A</v>
      </c>
      <c r="BR13" s="85"/>
      <c r="BS13" s="85" t="str">
        <f t="shared" si="2"/>
        <v>N/A</v>
      </c>
      <c r="BT13" s="85"/>
      <c r="BU13" s="85" t="str">
        <f t="shared" si="3"/>
        <v>N/A</v>
      </c>
      <c r="BV13" s="85"/>
      <c r="BW13" s="85" t="str">
        <f t="shared" si="4"/>
        <v>N/A</v>
      </c>
      <c r="BX13" s="85"/>
      <c r="BY13" s="85" t="str">
        <f t="shared" si="5"/>
        <v>N/A</v>
      </c>
      <c r="BZ13" s="85"/>
      <c r="CA13" s="85" t="str">
        <f t="shared" si="6"/>
        <v>N/A</v>
      </c>
      <c r="CB13" s="85"/>
      <c r="CC13" s="85" t="str">
        <f t="shared" si="7"/>
        <v>N/A</v>
      </c>
      <c r="CD13" s="85"/>
      <c r="CE13" s="85" t="str">
        <f t="shared" si="8"/>
        <v>N/A</v>
      </c>
      <c r="CF13" s="85"/>
      <c r="CG13" s="85" t="str">
        <f t="shared" si="9"/>
        <v>N/A</v>
      </c>
      <c r="CH13" s="85"/>
      <c r="CI13" s="85" t="str">
        <f t="shared" si="10"/>
        <v>N/A</v>
      </c>
      <c r="CJ13" s="85"/>
      <c r="CK13" s="85" t="str">
        <f t="shared" si="11"/>
        <v>N/A</v>
      </c>
      <c r="CL13" s="85"/>
      <c r="CM13" s="85" t="str">
        <f t="shared" si="13"/>
        <v>N/A</v>
      </c>
      <c r="CN13" s="85"/>
      <c r="CO13" s="85" t="str">
        <f>IF(OR(ISBLANK(AP13),ISBLANK(AR13)),"N/A",IF(ABS((AR13-AP13)/AP13)&gt;0.25,"&gt; 25%","ok"))</f>
        <v>N/A</v>
      </c>
      <c r="CP13" s="85"/>
      <c r="CQ13" s="85" t="str">
        <f>IF(OR(ISBLANK(AR13),ISBLANK(AT13)),"N/A",IF(ABS((AT13-AR13)/AR13)&gt;0.25,"&gt; 25%","ok"))</f>
        <v>N/A</v>
      </c>
      <c r="CR13" s="85"/>
      <c r="CS13" s="85" t="str">
        <f t="shared" si="14"/>
        <v>N/A</v>
      </c>
    </row>
    <row r="14" spans="2:97" ht="15" customHeight="1">
      <c r="B14" s="247">
        <v>33</v>
      </c>
      <c r="C14" s="265">
        <v>6</v>
      </c>
      <c r="D14" s="466" t="s">
        <v>567</v>
      </c>
      <c r="E14" s="256" t="s">
        <v>360</v>
      </c>
      <c r="F14" s="641"/>
      <c r="G14" s="623"/>
      <c r="H14" s="641"/>
      <c r="I14" s="623"/>
      <c r="J14" s="641"/>
      <c r="K14" s="623"/>
      <c r="L14" s="641"/>
      <c r="M14" s="623"/>
      <c r="N14" s="641"/>
      <c r="O14" s="623"/>
      <c r="P14" s="641"/>
      <c r="Q14" s="623"/>
      <c r="R14" s="641"/>
      <c r="S14" s="623"/>
      <c r="T14" s="641"/>
      <c r="U14" s="623"/>
      <c r="V14" s="641"/>
      <c r="W14" s="623"/>
      <c r="X14" s="641"/>
      <c r="Y14" s="623"/>
      <c r="Z14" s="641"/>
      <c r="AA14" s="623"/>
      <c r="AB14" s="641"/>
      <c r="AC14" s="623"/>
      <c r="AD14" s="641"/>
      <c r="AE14" s="623"/>
      <c r="AF14" s="641"/>
      <c r="AG14" s="623"/>
      <c r="AH14" s="641"/>
      <c r="AI14" s="623"/>
      <c r="AJ14" s="641"/>
      <c r="AK14" s="623"/>
      <c r="AL14" s="641"/>
      <c r="AM14" s="623"/>
      <c r="AN14" s="641"/>
      <c r="AO14" s="623"/>
      <c r="AP14" s="641"/>
      <c r="AQ14" s="623"/>
      <c r="AR14" s="641"/>
      <c r="AS14" s="623"/>
      <c r="AT14" s="641"/>
      <c r="AU14" s="623"/>
      <c r="AV14" s="641"/>
      <c r="AW14" s="623"/>
      <c r="AZ14" s="101">
        <v>6</v>
      </c>
      <c r="BA14" s="467" t="s">
        <v>567</v>
      </c>
      <c r="BB14" s="84" t="s">
        <v>360</v>
      </c>
      <c r="BC14" s="84" t="s">
        <v>97</v>
      </c>
      <c r="BD14" s="647"/>
      <c r="BE14" s="82" t="str">
        <f t="shared" si="12"/>
        <v>N/A</v>
      </c>
      <c r="BF14" s="647"/>
      <c r="BG14" s="85" t="str">
        <f>IF(OR(ISBLANK(H14),ISBLANK(J14)),"N/A",IF(ABS((J14-H14)/H14)&gt;0.25,"&gt; 25%","ok"))</f>
        <v>N/A</v>
      </c>
      <c r="BH14" s="85"/>
      <c r="BI14" s="85" t="str">
        <f>IF(OR(ISBLANK(J14),ISBLANK(L14)),"N/A",IF(ABS((L14-J14)/J14)&gt;0.25,"&gt; 25%","ok"))</f>
        <v>N/A</v>
      </c>
      <c r="BJ14" s="85"/>
      <c r="BK14" s="85" t="str">
        <f>IF(OR(ISBLANK(L14),ISBLANK(N14)),"N/A",IF(ABS((N14-L14)/L14)&gt;0.25,"&gt; 25%","ok"))</f>
        <v>N/A</v>
      </c>
      <c r="BL14" s="85"/>
      <c r="BM14" s="85" t="str">
        <f>IF(OR(ISBLANK(N14),ISBLANK(P14)),"N/A",IF(ABS((P14-N14)/N14)&gt;0.25,"&gt; 25%","ok"))</f>
        <v>N/A</v>
      </c>
      <c r="BN14" s="85"/>
      <c r="BO14" s="85" t="str">
        <f t="shared" si="0"/>
        <v>N/A</v>
      </c>
      <c r="BP14" s="85"/>
      <c r="BQ14" s="85" t="str">
        <f t="shared" si="1"/>
        <v>N/A</v>
      </c>
      <c r="BR14" s="85"/>
      <c r="BS14" s="85" t="str">
        <f t="shared" si="2"/>
        <v>N/A</v>
      </c>
      <c r="BT14" s="85"/>
      <c r="BU14" s="85" t="str">
        <f t="shared" si="3"/>
        <v>N/A</v>
      </c>
      <c r="BV14" s="85"/>
      <c r="BW14" s="85" t="str">
        <f t="shared" si="4"/>
        <v>N/A</v>
      </c>
      <c r="BX14" s="85"/>
      <c r="BY14" s="85" t="str">
        <f t="shared" si="5"/>
        <v>N/A</v>
      </c>
      <c r="BZ14" s="85"/>
      <c r="CA14" s="85" t="str">
        <f t="shared" si="6"/>
        <v>N/A</v>
      </c>
      <c r="CB14" s="85"/>
      <c r="CC14" s="85" t="str">
        <f t="shared" si="7"/>
        <v>N/A</v>
      </c>
      <c r="CD14" s="85"/>
      <c r="CE14" s="85" t="str">
        <f t="shared" si="8"/>
        <v>N/A</v>
      </c>
      <c r="CF14" s="85"/>
      <c r="CG14" s="85" t="str">
        <f t="shared" si="9"/>
        <v>N/A</v>
      </c>
      <c r="CH14" s="85"/>
      <c r="CI14" s="85" t="str">
        <f t="shared" si="10"/>
        <v>N/A</v>
      </c>
      <c r="CJ14" s="85"/>
      <c r="CK14" s="85" t="str">
        <f t="shared" si="11"/>
        <v>N/A</v>
      </c>
      <c r="CL14" s="85"/>
      <c r="CM14" s="85" t="str">
        <f t="shared" si="13"/>
        <v>N/A</v>
      </c>
      <c r="CN14" s="85"/>
      <c r="CO14" s="85" t="str">
        <f>IF(OR(ISBLANK(AP14),ISBLANK(AR14)),"N/A",IF(ABS((AR14-AP14)/AP14)&gt;0.25,"&gt; 25%","ok"))</f>
        <v>N/A</v>
      </c>
      <c r="CP14" s="85"/>
      <c r="CQ14" s="85" t="str">
        <f>IF(OR(ISBLANK(AR14),ISBLANK(AT14)),"N/A",IF(ABS((AT14-AR14)/AR14)&gt;0.25,"&gt; 25%","ok"))</f>
        <v>N/A</v>
      </c>
      <c r="CR14" s="85"/>
      <c r="CS14" s="85" t="str">
        <f t="shared" si="14"/>
        <v>N/A</v>
      </c>
    </row>
    <row r="15" spans="2:97" ht="15" customHeight="1">
      <c r="B15" s="247">
        <v>82</v>
      </c>
      <c r="C15" s="250">
        <v>7</v>
      </c>
      <c r="D15" s="462" t="s">
        <v>199</v>
      </c>
      <c r="E15" s="256" t="s">
        <v>360</v>
      </c>
      <c r="F15" s="641"/>
      <c r="G15" s="623"/>
      <c r="H15" s="641"/>
      <c r="I15" s="623"/>
      <c r="J15" s="641"/>
      <c r="K15" s="623"/>
      <c r="L15" s="641"/>
      <c r="M15" s="623"/>
      <c r="N15" s="641"/>
      <c r="O15" s="623"/>
      <c r="P15" s="641"/>
      <c r="Q15" s="623"/>
      <c r="R15" s="641"/>
      <c r="S15" s="623"/>
      <c r="T15" s="641"/>
      <c r="U15" s="623"/>
      <c r="V15" s="641"/>
      <c r="W15" s="623"/>
      <c r="X15" s="641"/>
      <c r="Y15" s="623"/>
      <c r="Z15" s="641"/>
      <c r="AA15" s="623"/>
      <c r="AB15" s="641"/>
      <c r="AC15" s="623"/>
      <c r="AD15" s="641"/>
      <c r="AE15" s="623"/>
      <c r="AF15" s="641"/>
      <c r="AG15" s="623"/>
      <c r="AH15" s="641"/>
      <c r="AI15" s="623"/>
      <c r="AJ15" s="641"/>
      <c r="AK15" s="623"/>
      <c r="AL15" s="641"/>
      <c r="AM15" s="623"/>
      <c r="AN15" s="641"/>
      <c r="AO15" s="623"/>
      <c r="AP15" s="641"/>
      <c r="AQ15" s="623"/>
      <c r="AR15" s="641"/>
      <c r="AS15" s="623"/>
      <c r="AT15" s="641"/>
      <c r="AU15" s="623"/>
      <c r="AV15" s="641"/>
      <c r="AW15" s="623"/>
      <c r="AZ15" s="84">
        <v>7</v>
      </c>
      <c r="BA15" s="465" t="s">
        <v>199</v>
      </c>
      <c r="BB15" s="84" t="s">
        <v>360</v>
      </c>
      <c r="BC15" s="84" t="s">
        <v>97</v>
      </c>
      <c r="BD15" s="647"/>
      <c r="BE15" s="82" t="str">
        <f t="shared" si="12"/>
        <v>N/A</v>
      </c>
      <c r="BF15" s="647"/>
      <c r="BG15" s="85" t="str">
        <f>IF(OR(ISBLANK(H15),ISBLANK(J15)),"N/A",IF(ABS((J15-H15)/H15)&gt;0.25,"&gt; 25%","ok"))</f>
        <v>N/A</v>
      </c>
      <c r="BH15" s="85"/>
      <c r="BI15" s="85" t="str">
        <f>IF(OR(ISBLANK(J15),ISBLANK(L15)),"N/A",IF(ABS((L15-J15)/J15)&gt;0.25,"&gt; 25%","ok"))</f>
        <v>N/A</v>
      </c>
      <c r="BJ15" s="85"/>
      <c r="BK15" s="85" t="str">
        <f>IF(OR(ISBLANK(L15),ISBLANK(N15)),"N/A",IF(ABS((N15-L15)/L15)&gt;0.25,"&gt; 25%","ok"))</f>
        <v>N/A</v>
      </c>
      <c r="BL15" s="85"/>
      <c r="BM15" s="85" t="str">
        <f>IF(OR(ISBLANK(N15),ISBLANK(P15)),"N/A",IF(ABS((P15-N15)/N15)&gt;0.25,"&gt; 25%","ok"))</f>
        <v>N/A</v>
      </c>
      <c r="BN15" s="85"/>
      <c r="BO15" s="85" t="str">
        <f t="shared" si="0"/>
        <v>N/A</v>
      </c>
      <c r="BP15" s="85"/>
      <c r="BQ15" s="85" t="str">
        <f t="shared" si="1"/>
        <v>N/A</v>
      </c>
      <c r="BR15" s="85"/>
      <c r="BS15" s="85" t="str">
        <f t="shared" si="2"/>
        <v>N/A</v>
      </c>
      <c r="BT15" s="85"/>
      <c r="BU15" s="85" t="str">
        <f t="shared" si="3"/>
        <v>N/A</v>
      </c>
      <c r="BV15" s="85"/>
      <c r="BW15" s="85" t="str">
        <f t="shared" si="4"/>
        <v>N/A</v>
      </c>
      <c r="BX15" s="85"/>
      <c r="BY15" s="85" t="str">
        <f t="shared" si="5"/>
        <v>N/A</v>
      </c>
      <c r="BZ15" s="85"/>
      <c r="CA15" s="85" t="str">
        <f t="shared" si="6"/>
        <v>N/A</v>
      </c>
      <c r="CB15" s="85"/>
      <c r="CC15" s="85" t="str">
        <f t="shared" si="7"/>
        <v>N/A</v>
      </c>
      <c r="CD15" s="85"/>
      <c r="CE15" s="85" t="str">
        <f t="shared" si="8"/>
        <v>N/A</v>
      </c>
      <c r="CF15" s="85"/>
      <c r="CG15" s="85" t="str">
        <f t="shared" si="9"/>
        <v>N/A</v>
      </c>
      <c r="CH15" s="85"/>
      <c r="CI15" s="85" t="str">
        <f t="shared" si="10"/>
        <v>N/A</v>
      </c>
      <c r="CJ15" s="85"/>
      <c r="CK15" s="85" t="str">
        <f t="shared" si="11"/>
        <v>N/A</v>
      </c>
      <c r="CL15" s="85"/>
      <c r="CM15" s="85" t="str">
        <f t="shared" si="13"/>
        <v>N/A</v>
      </c>
      <c r="CN15" s="85"/>
      <c r="CO15" s="85" t="str">
        <f>IF(OR(ISBLANK(AP15),ISBLANK(AR15)),"N/A",IF(ABS((AR15-AP15)/AP15)&gt;0.25,"&gt; 25%","ok"))</f>
        <v>N/A</v>
      </c>
      <c r="CP15" s="85"/>
      <c r="CQ15" s="85" t="str">
        <f>IF(OR(ISBLANK(AR15),ISBLANK(AT15)),"N/A",IF(ABS((AT15-AR15)/AR15)&gt;0.25,"&gt; 25%","ok"))</f>
        <v>N/A</v>
      </c>
      <c r="CR15" s="85"/>
      <c r="CS15" s="85" t="str">
        <f t="shared" si="14"/>
        <v>N/A</v>
      </c>
    </row>
    <row r="16" spans="2:97" ht="15" customHeight="1">
      <c r="B16" s="247">
        <v>37</v>
      </c>
      <c r="C16" s="265">
        <v>8</v>
      </c>
      <c r="D16" s="468" t="s">
        <v>379</v>
      </c>
      <c r="E16" s="256" t="s">
        <v>360</v>
      </c>
      <c r="F16" s="643"/>
      <c r="G16" s="628"/>
      <c r="H16" s="643"/>
      <c r="I16" s="628"/>
      <c r="J16" s="643"/>
      <c r="K16" s="628"/>
      <c r="L16" s="643"/>
      <c r="M16" s="628"/>
      <c r="N16" s="643"/>
      <c r="O16" s="628"/>
      <c r="P16" s="643"/>
      <c r="Q16" s="628"/>
      <c r="R16" s="643"/>
      <c r="S16" s="628"/>
      <c r="T16" s="643"/>
      <c r="U16" s="628"/>
      <c r="V16" s="643"/>
      <c r="W16" s="628"/>
      <c r="X16" s="643"/>
      <c r="Y16" s="628"/>
      <c r="Z16" s="643"/>
      <c r="AA16" s="628"/>
      <c r="AB16" s="643"/>
      <c r="AC16" s="628"/>
      <c r="AD16" s="643"/>
      <c r="AE16" s="628"/>
      <c r="AF16" s="643"/>
      <c r="AG16" s="628"/>
      <c r="AH16" s="643"/>
      <c r="AI16" s="628"/>
      <c r="AJ16" s="643"/>
      <c r="AK16" s="628"/>
      <c r="AL16" s="643"/>
      <c r="AM16" s="628"/>
      <c r="AN16" s="643"/>
      <c r="AO16" s="628"/>
      <c r="AP16" s="643"/>
      <c r="AQ16" s="628"/>
      <c r="AR16" s="643"/>
      <c r="AS16" s="628"/>
      <c r="AT16" s="643"/>
      <c r="AU16" s="628"/>
      <c r="AV16" s="643"/>
      <c r="AW16" s="628"/>
      <c r="AZ16" s="101">
        <v>8</v>
      </c>
      <c r="BA16" s="469" t="s">
        <v>379</v>
      </c>
      <c r="BB16" s="84" t="s">
        <v>360</v>
      </c>
      <c r="BC16" s="270" t="s">
        <v>97</v>
      </c>
      <c r="BD16" s="648"/>
      <c r="BE16" s="82" t="str">
        <f t="shared" si="12"/>
        <v>N/A</v>
      </c>
      <c r="BF16" s="648"/>
      <c r="BG16" s="85" t="str">
        <f>IF(OR(ISBLANK(H16),ISBLANK(J16)),"N/A",IF(ABS((J16-H16)/H16)&gt;0.25,"&gt; 25%","ok"))</f>
        <v>N/A</v>
      </c>
      <c r="BH16" s="85"/>
      <c r="BI16" s="85" t="str">
        <f>IF(OR(ISBLANK(J16),ISBLANK(L16)),"N/A",IF(ABS((L16-J16)/J16)&gt;0.25,"&gt; 25%","ok"))</f>
        <v>N/A</v>
      </c>
      <c r="BJ16" s="85"/>
      <c r="BK16" s="85" t="str">
        <f>IF(OR(ISBLANK(L16),ISBLANK(N16)),"N/A",IF(ABS((N16-L16)/L16)&gt;0.25,"&gt; 25%","ok"))</f>
        <v>N/A</v>
      </c>
      <c r="BL16" s="85"/>
      <c r="BM16" s="85" t="str">
        <f>IF(OR(ISBLANK(N16),ISBLANK(P16)),"N/A",IF(ABS((P16-N16)/N16)&gt;0.25,"&gt; 25%","ok"))</f>
        <v>N/A</v>
      </c>
      <c r="BN16" s="85"/>
      <c r="BO16" s="85" t="str">
        <f t="shared" si="0"/>
        <v>N/A</v>
      </c>
      <c r="BP16" s="85"/>
      <c r="BQ16" s="85" t="str">
        <f t="shared" si="1"/>
        <v>N/A</v>
      </c>
      <c r="BR16" s="85"/>
      <c r="BS16" s="85" t="str">
        <f t="shared" si="2"/>
        <v>N/A</v>
      </c>
      <c r="BT16" s="85"/>
      <c r="BU16" s="85" t="str">
        <f t="shared" si="3"/>
        <v>N/A</v>
      </c>
      <c r="BV16" s="85"/>
      <c r="BW16" s="85" t="str">
        <f t="shared" si="4"/>
        <v>N/A</v>
      </c>
      <c r="BX16" s="85"/>
      <c r="BY16" s="85" t="str">
        <f t="shared" si="5"/>
        <v>N/A</v>
      </c>
      <c r="BZ16" s="85"/>
      <c r="CA16" s="85" t="str">
        <f t="shared" si="6"/>
        <v>N/A</v>
      </c>
      <c r="CB16" s="85"/>
      <c r="CC16" s="85" t="str">
        <f t="shared" si="7"/>
        <v>N/A</v>
      </c>
      <c r="CD16" s="85"/>
      <c r="CE16" s="85" t="str">
        <f t="shared" si="8"/>
        <v>N/A</v>
      </c>
      <c r="CF16" s="85"/>
      <c r="CG16" s="85" t="str">
        <f t="shared" si="9"/>
        <v>N/A</v>
      </c>
      <c r="CH16" s="85"/>
      <c r="CI16" s="85" t="str">
        <f t="shared" si="10"/>
        <v>N/A</v>
      </c>
      <c r="CJ16" s="85"/>
      <c r="CK16" s="85" t="str">
        <f t="shared" si="11"/>
        <v>N/A</v>
      </c>
      <c r="CL16" s="85"/>
      <c r="CM16" s="85" t="str">
        <f t="shared" si="13"/>
        <v>N/A</v>
      </c>
      <c r="CN16" s="85"/>
      <c r="CO16" s="85" t="str">
        <f>IF(OR(ISBLANK(AP16),ISBLANK(AR16)),"N/A",IF(ABS((AR16-AP16)/AP16)&gt;0.25,"&gt; 25%","ok"))</f>
        <v>N/A</v>
      </c>
      <c r="CP16" s="85"/>
      <c r="CQ16" s="85" t="str">
        <f>IF(OR(ISBLANK(AR16),ISBLANK(AT16)),"N/A",IF(ABS((AT16-AR16)/AR16)&gt;0.25,"&gt; 25%","ok"))</f>
        <v>N/A</v>
      </c>
      <c r="CR16" s="85"/>
      <c r="CS16" s="85" t="str">
        <f t="shared" si="14"/>
        <v>N/A</v>
      </c>
    </row>
    <row r="17" spans="2:97" ht="12.75" customHeight="1">
      <c r="B17" s="190">
        <v>5009</v>
      </c>
      <c r="C17" s="270"/>
      <c r="D17" s="470" t="s">
        <v>565</v>
      </c>
      <c r="E17" s="631"/>
      <c r="F17" s="660"/>
      <c r="G17" s="661"/>
      <c r="H17" s="660"/>
      <c r="I17" s="661"/>
      <c r="J17" s="660"/>
      <c r="K17" s="661"/>
      <c r="L17" s="660"/>
      <c r="M17" s="661"/>
      <c r="N17" s="661"/>
      <c r="O17" s="661"/>
      <c r="P17" s="660"/>
      <c r="Q17" s="661"/>
      <c r="R17" s="660"/>
      <c r="S17" s="661"/>
      <c r="T17" s="660"/>
      <c r="U17" s="661"/>
      <c r="V17" s="660"/>
      <c r="W17" s="661"/>
      <c r="X17" s="660"/>
      <c r="Y17" s="661"/>
      <c r="Z17" s="660"/>
      <c r="AA17" s="661"/>
      <c r="AB17" s="660"/>
      <c r="AC17" s="661"/>
      <c r="AD17" s="660"/>
      <c r="AE17" s="661"/>
      <c r="AF17" s="660"/>
      <c r="AG17" s="661"/>
      <c r="AH17" s="660"/>
      <c r="AI17" s="661"/>
      <c r="AJ17" s="660"/>
      <c r="AK17" s="661"/>
      <c r="AL17" s="660"/>
      <c r="AM17" s="661"/>
      <c r="AN17" s="660"/>
      <c r="AO17" s="661"/>
      <c r="AP17" s="660"/>
      <c r="AQ17" s="661"/>
      <c r="AR17" s="660"/>
      <c r="AS17" s="661"/>
      <c r="AT17" s="660"/>
      <c r="AU17" s="661"/>
      <c r="AV17" s="660"/>
      <c r="AW17" s="661"/>
      <c r="AZ17" s="270"/>
      <c r="BA17" s="470" t="s">
        <v>565</v>
      </c>
      <c r="BB17" s="270"/>
      <c r="BC17" s="270" t="s">
        <v>97</v>
      </c>
      <c r="BD17" s="648"/>
      <c r="BE17" s="82"/>
      <c r="BF17" s="648"/>
      <c r="BG17" s="471"/>
      <c r="BH17" s="648"/>
      <c r="BI17" s="471"/>
      <c r="BJ17" s="648"/>
      <c r="BK17" s="471"/>
      <c r="BL17" s="648"/>
      <c r="BM17" s="471"/>
      <c r="BN17" s="648"/>
      <c r="BO17" s="471"/>
      <c r="BP17" s="648"/>
      <c r="BQ17" s="471"/>
      <c r="BR17" s="648"/>
      <c r="BS17" s="270"/>
      <c r="BT17" s="648"/>
      <c r="BU17" s="270"/>
      <c r="BV17" s="648"/>
      <c r="BW17" s="270"/>
      <c r="BX17" s="648"/>
      <c r="BY17" s="270"/>
      <c r="BZ17" s="648"/>
      <c r="CA17" s="270"/>
      <c r="CB17" s="648"/>
      <c r="CC17" s="270"/>
      <c r="CD17" s="648"/>
      <c r="CE17" s="471"/>
      <c r="CF17" s="648"/>
      <c r="CG17" s="270"/>
      <c r="CH17" s="648"/>
      <c r="CI17" s="270"/>
      <c r="CJ17" s="648"/>
      <c r="CK17" s="270"/>
      <c r="CL17" s="648"/>
      <c r="CM17" s="85"/>
      <c r="CN17" s="648"/>
      <c r="CO17" s="270"/>
      <c r="CP17" s="648"/>
      <c r="CQ17" s="270"/>
      <c r="CR17" s="648"/>
      <c r="CS17" s="85"/>
    </row>
    <row r="18" spans="1:97" s="472" customFormat="1" ht="27" customHeight="1">
      <c r="A18" s="399"/>
      <c r="B18" s="247">
        <v>277</v>
      </c>
      <c r="C18" s="384">
        <v>9</v>
      </c>
      <c r="D18" s="264" t="s">
        <v>20</v>
      </c>
      <c r="E18" s="256" t="s">
        <v>321</v>
      </c>
      <c r="F18" s="641"/>
      <c r="G18" s="623"/>
      <c r="H18" s="641"/>
      <c r="I18" s="623"/>
      <c r="J18" s="641"/>
      <c r="K18" s="623"/>
      <c r="L18" s="641"/>
      <c r="M18" s="623"/>
      <c r="N18" s="623"/>
      <c r="O18" s="623"/>
      <c r="P18" s="641"/>
      <c r="Q18" s="623"/>
      <c r="R18" s="641"/>
      <c r="S18" s="623"/>
      <c r="T18" s="641"/>
      <c r="U18" s="623"/>
      <c r="V18" s="641"/>
      <c r="W18" s="623"/>
      <c r="X18" s="641"/>
      <c r="Y18" s="623"/>
      <c r="Z18" s="641"/>
      <c r="AA18" s="623"/>
      <c r="AB18" s="641"/>
      <c r="AC18" s="623"/>
      <c r="AD18" s="641"/>
      <c r="AE18" s="623"/>
      <c r="AF18" s="641"/>
      <c r="AG18" s="623"/>
      <c r="AH18" s="641"/>
      <c r="AI18" s="623"/>
      <c r="AJ18" s="641"/>
      <c r="AK18" s="623"/>
      <c r="AL18" s="641"/>
      <c r="AM18" s="623"/>
      <c r="AN18" s="641"/>
      <c r="AO18" s="623"/>
      <c r="AP18" s="641"/>
      <c r="AQ18" s="623"/>
      <c r="AR18" s="641"/>
      <c r="AS18" s="623"/>
      <c r="AT18" s="641"/>
      <c r="AU18" s="623"/>
      <c r="AV18" s="641"/>
      <c r="AW18" s="623"/>
      <c r="AY18" s="398"/>
      <c r="AZ18" s="388">
        <v>9</v>
      </c>
      <c r="BA18" s="267" t="s">
        <v>20</v>
      </c>
      <c r="BB18" s="388" t="s">
        <v>321</v>
      </c>
      <c r="BC18" s="84" t="s">
        <v>97</v>
      </c>
      <c r="BD18" s="647"/>
      <c r="BE18" s="85" t="str">
        <f>IF(OR(ISBLANK(F18),ISBLANK(H18)),"N/A",IF(ABS(H18-F18)&gt;25,"&gt; 25%","ok"))</f>
        <v>N/A</v>
      </c>
      <c r="BF18" s="647"/>
      <c r="BG18" s="85" t="str">
        <f>IF(OR(ISBLANK(H18),ISBLANK(J18)),"N/A",IF(ABS(J18-H18)&gt;25,"&gt; 25%","ok"))</f>
        <v>N/A</v>
      </c>
      <c r="BH18" s="85"/>
      <c r="BI18" s="85" t="str">
        <f>IF(OR(ISBLANK(J18),ISBLANK(L18)),"N/A",IF(ABS(L18-J18)&gt;25,"&gt; 25%","ok"))</f>
        <v>N/A</v>
      </c>
      <c r="BJ18" s="85"/>
      <c r="BK18" s="85" t="str">
        <f>IF(OR(ISBLANK(L18),ISBLANK(N18)),"N/A",IF(ABS(N18-L18)&gt;25,"&gt; 25%","ok"))</f>
        <v>N/A</v>
      </c>
      <c r="BL18" s="85"/>
      <c r="BM18" s="85" t="str">
        <f>IF(OR(ISBLANK(N18),ISBLANK(P18)),"N/A",IF(ABS(P18-N18)&gt;25,"&gt; 25%","ok"))</f>
        <v>N/A</v>
      </c>
      <c r="BN18" s="85"/>
      <c r="BO18" s="85" t="str">
        <f>IF(OR(ISBLANK(P18),ISBLANK(R18)),"N/A",IF(ABS(R18-P18)&gt;25,"&gt; 25%","ok"))</f>
        <v>N/A</v>
      </c>
      <c r="BP18" s="85"/>
      <c r="BQ18" s="85" t="str">
        <f>IF(OR(ISBLANK(R18),ISBLANK(T18)),"N/A",IF(ABS(T18-R18)&gt;25,"&gt; 25%","ok"))</f>
        <v>N/A</v>
      </c>
      <c r="BR18" s="85"/>
      <c r="BS18" s="85" t="str">
        <f>IF(OR(ISBLANK(T18),ISBLANK(V18)),"N/A",IF(ABS(V18-T18)&gt;25,"&gt; 25%","ok"))</f>
        <v>N/A</v>
      </c>
      <c r="BT18" s="85"/>
      <c r="BU18" s="85" t="str">
        <f>IF(OR(ISBLANK(V18),ISBLANK(X18)),"N/A",IF(ABS(X18-V18)&gt;25,"&gt; 25%","ok"))</f>
        <v>N/A</v>
      </c>
      <c r="BV18" s="85"/>
      <c r="BW18" s="85" t="str">
        <f>IF(OR(ISBLANK(X18),ISBLANK(Z18)),"N/A",IF(ABS(Z18-X18)&gt;25,"&gt; 25%","ok"))</f>
        <v>N/A</v>
      </c>
      <c r="BX18" s="85"/>
      <c r="BY18" s="85" t="str">
        <f>IF(OR(ISBLANK(Z18),ISBLANK(AB18)),"N/A",IF(ABS(AB18-Z18)&gt;25,"&gt; 25%","ok"))</f>
        <v>N/A</v>
      </c>
      <c r="BZ18" s="85"/>
      <c r="CA18" s="85" t="str">
        <f>IF(OR(ISBLANK(AB18),ISBLANK(AD18)),"N/A",IF(ABS(AD18-AB18)&gt;25,"&gt; 25%","ok"))</f>
        <v>N/A</v>
      </c>
      <c r="CB18" s="85"/>
      <c r="CC18" s="85" t="str">
        <f>IF(OR(ISBLANK(AD18),ISBLANK(AF18)),"N/A",IF(ABS(AF18-AD18)&gt;25,"&gt; 25%","ok"))</f>
        <v>N/A</v>
      </c>
      <c r="CD18" s="85"/>
      <c r="CE18" s="85" t="str">
        <f>IF(OR(ISBLANK(AF18),ISBLANK(AH18)),"N/A",IF(ABS(AH18-AF18)&gt;25,"&gt; 25%","ok"))</f>
        <v>N/A</v>
      </c>
      <c r="CF18" s="85"/>
      <c r="CG18" s="85" t="str">
        <f>IF(OR(ISBLANK(AH18),ISBLANK(AJ18)),"N/A",IF(ABS(AJ18-AH18)&gt;25,"&gt; 25%","ok"))</f>
        <v>N/A</v>
      </c>
      <c r="CH18" s="85"/>
      <c r="CI18" s="85" t="str">
        <f>IF(OR(ISBLANK(AJ18),ISBLANK(AL18)),"N/A",IF(ABS(AL18-AJ18)&gt;25,"&gt; 25%","ok"))</f>
        <v>N/A</v>
      </c>
      <c r="CJ18" s="85"/>
      <c r="CK18" s="85" t="str">
        <f>IF(OR(ISBLANK(AL18),ISBLANK(AN18)),"N/A",IF(ABS(AN18-AL18)&gt;25,"&gt; 25%","ok"))</f>
        <v>N/A</v>
      </c>
      <c r="CL18" s="85"/>
      <c r="CM18" s="85" t="str">
        <f t="shared" si="13"/>
        <v>N/A</v>
      </c>
      <c r="CN18" s="647"/>
      <c r="CO18" s="85" t="str">
        <f>IF(OR(ISBLANK(AP18),ISBLANK(AR18)),"N/A",IF(ABS(AR18-AP18)&gt;25,"&gt; 25%","ok"))</f>
        <v>N/A</v>
      </c>
      <c r="CP18" s="85"/>
      <c r="CQ18" s="85" t="str">
        <f>IF(OR(ISBLANK(AR18),ISBLANK(AT18)),"N/A",IF(ABS(AT18-AR18)&gt;25,"&gt; 25%","ok"))</f>
        <v>N/A</v>
      </c>
      <c r="CR18" s="85"/>
      <c r="CS18" s="85" t="str">
        <f t="shared" si="14"/>
        <v>N/A</v>
      </c>
    </row>
    <row r="19" spans="1:97" s="472" customFormat="1" ht="27" customHeight="1">
      <c r="A19" s="399"/>
      <c r="B19" s="247">
        <v>261</v>
      </c>
      <c r="C19" s="265">
        <v>10</v>
      </c>
      <c r="D19" s="262" t="s">
        <v>572</v>
      </c>
      <c r="E19" s="256" t="s">
        <v>321</v>
      </c>
      <c r="F19" s="641"/>
      <c r="G19" s="623"/>
      <c r="H19" s="641"/>
      <c r="I19" s="623"/>
      <c r="J19" s="641"/>
      <c r="K19" s="623"/>
      <c r="L19" s="641"/>
      <c r="M19" s="623"/>
      <c r="N19" s="623"/>
      <c r="O19" s="623"/>
      <c r="P19" s="641"/>
      <c r="Q19" s="623"/>
      <c r="R19" s="641"/>
      <c r="S19" s="623"/>
      <c r="T19" s="641"/>
      <c r="U19" s="623"/>
      <c r="V19" s="641"/>
      <c r="W19" s="623"/>
      <c r="X19" s="641"/>
      <c r="Y19" s="623"/>
      <c r="Z19" s="641">
        <v>35</v>
      </c>
      <c r="AA19" s="623"/>
      <c r="AB19" s="641">
        <v>32</v>
      </c>
      <c r="AC19" s="623"/>
      <c r="AD19" s="641">
        <v>30</v>
      </c>
      <c r="AE19" s="623"/>
      <c r="AF19" s="641">
        <v>32</v>
      </c>
      <c r="AG19" s="623"/>
      <c r="AH19" s="641">
        <v>37</v>
      </c>
      <c r="AI19" s="623"/>
      <c r="AJ19" s="641">
        <v>39</v>
      </c>
      <c r="AK19" s="623"/>
      <c r="AL19" s="641">
        <v>37</v>
      </c>
      <c r="AM19" s="623"/>
      <c r="AN19" s="641">
        <v>45</v>
      </c>
      <c r="AO19" s="623"/>
      <c r="AP19" s="641">
        <v>51</v>
      </c>
      <c r="AQ19" s="623"/>
      <c r="AR19" s="641">
        <v>51</v>
      </c>
      <c r="AS19" s="623"/>
      <c r="AT19" s="641">
        <v>52</v>
      </c>
      <c r="AU19" s="623"/>
      <c r="AV19" s="641">
        <v>52</v>
      </c>
      <c r="AW19" s="623"/>
      <c r="AY19" s="398"/>
      <c r="AZ19" s="84">
        <v>10</v>
      </c>
      <c r="BA19" s="258" t="s">
        <v>572</v>
      </c>
      <c r="BB19" s="84" t="s">
        <v>321</v>
      </c>
      <c r="BC19" s="84" t="s">
        <v>97</v>
      </c>
      <c r="BD19" s="647"/>
      <c r="BE19" s="85" t="str">
        <f>IF(OR(ISBLANK(F19),ISBLANK(H19)),"N/A",IF(ABS(H19-F19)&gt;25,"&gt; 25%","ok"))</f>
        <v>N/A</v>
      </c>
      <c r="BF19" s="647"/>
      <c r="BG19" s="85" t="str">
        <f>IF(OR(ISBLANK(H19),ISBLANK(J19)),"N/A",IF(ABS(J19-H19)&gt;25,"&gt; 25%","ok"))</f>
        <v>N/A</v>
      </c>
      <c r="BH19" s="85"/>
      <c r="BI19" s="85" t="str">
        <f>IF(OR(ISBLANK(J19),ISBLANK(L19)),"N/A",IF(ABS(L19-J19)&gt;25,"&gt; 25%","ok"))</f>
        <v>N/A</v>
      </c>
      <c r="BJ19" s="85"/>
      <c r="BK19" s="85" t="str">
        <f>IF(OR(ISBLANK(L19),ISBLANK(N19)),"N/A",IF(ABS(N19-L19)&gt;25,"&gt; 25%","ok"))</f>
        <v>N/A</v>
      </c>
      <c r="BL19" s="85"/>
      <c r="BM19" s="85" t="str">
        <f>IF(OR(ISBLANK(N19),ISBLANK(P19)),"N/A",IF(ABS(P19-N19)&gt;25,"&gt; 25%","ok"))</f>
        <v>N/A</v>
      </c>
      <c r="BN19" s="85"/>
      <c r="BO19" s="85" t="str">
        <f>IF(OR(ISBLANK(P19),ISBLANK(R19)),"N/A",IF(ABS(R19-P19)&gt;25,"&gt; 25%","ok"))</f>
        <v>N/A</v>
      </c>
      <c r="BP19" s="85"/>
      <c r="BQ19" s="85" t="str">
        <f>IF(OR(ISBLANK(R19),ISBLANK(T19)),"N/A",IF(ABS(T19-R19)&gt;25,"&gt; 25%","ok"))</f>
        <v>N/A</v>
      </c>
      <c r="BR19" s="85"/>
      <c r="BS19" s="85" t="str">
        <f>IF(OR(ISBLANK(T19),ISBLANK(V19)),"N/A",IF(ABS(V19-T19)&gt;25,"&gt; 25%","ok"))</f>
        <v>N/A</v>
      </c>
      <c r="BT19" s="85"/>
      <c r="BU19" s="85" t="str">
        <f>IF(OR(ISBLANK(V19),ISBLANK(X19)),"N/A",IF(ABS(X19-V19)&gt;25,"&gt; 25%","ok"))</f>
        <v>N/A</v>
      </c>
      <c r="BV19" s="85"/>
      <c r="BW19" s="85" t="str">
        <f>IF(OR(ISBLANK(X19),ISBLANK(Z19)),"N/A",IF(ABS(Z19-X19)&gt;25,"&gt; 25%","ok"))</f>
        <v>N/A</v>
      </c>
      <c r="BX19" s="85"/>
      <c r="BY19" s="85" t="str">
        <f>IF(OR(ISBLANK(Z19),ISBLANK(AB19)),"N/A",IF(ABS(AB19-Z19)&gt;25,"&gt; 25%","ok"))</f>
        <v>ok</v>
      </c>
      <c r="BZ19" s="85"/>
      <c r="CA19" s="85" t="str">
        <f>IF(OR(ISBLANK(AB19),ISBLANK(AD19)),"N/A",IF(ABS(AD19-AB19)&gt;25,"&gt; 25%","ok"))</f>
        <v>ok</v>
      </c>
      <c r="CB19" s="85"/>
      <c r="CC19" s="85" t="str">
        <f>IF(OR(ISBLANK(AD19),ISBLANK(AF19)),"N/A",IF(ABS(AF19-AD19)&gt;25,"&gt; 25%","ok"))</f>
        <v>ok</v>
      </c>
      <c r="CD19" s="85"/>
      <c r="CE19" s="85" t="str">
        <f>IF(OR(ISBLANK(AF19),ISBLANK(AH19)),"N/A",IF(ABS(AH19-AF19)&gt;25,"&gt; 25%","ok"))</f>
        <v>ok</v>
      </c>
      <c r="CF19" s="85"/>
      <c r="CG19" s="85" t="str">
        <f>IF(OR(ISBLANK(AH19),ISBLANK(AJ19)),"N/A",IF(ABS(AJ19-AH19)&gt;25,"&gt; 25%","ok"))</f>
        <v>ok</v>
      </c>
      <c r="CH19" s="85"/>
      <c r="CI19" s="85" t="str">
        <f>IF(OR(ISBLANK(AJ19),ISBLANK(AL19)),"N/A",IF(ABS(AL19-AJ19)&gt;25,"&gt; 25%","ok"))</f>
        <v>ok</v>
      </c>
      <c r="CJ19" s="85"/>
      <c r="CK19" s="85" t="str">
        <f>IF(OR(ISBLANK(AL19),ISBLANK(AN19)),"N/A",IF(ABS(AN19-AL19)&gt;25,"&gt; 25%","ok"))</f>
        <v>ok</v>
      </c>
      <c r="CL19" s="85"/>
      <c r="CM19" s="85" t="str">
        <f t="shared" si="13"/>
        <v>ok</v>
      </c>
      <c r="CN19" s="647"/>
      <c r="CO19" s="85" t="str">
        <f>IF(OR(ISBLANK(AP19),ISBLANK(AR19)),"N/A",IF(ABS(AR19-AP19)&gt;25,"&gt; 25%","ok"))</f>
        <v>ok</v>
      </c>
      <c r="CP19" s="85"/>
      <c r="CQ19" s="85" t="str">
        <f>IF(OR(ISBLANK(AR19),ISBLANK(AT19)),"N/A",IF(ABS(AT19-AR19)&gt;25,"&gt; 25%","ok"))</f>
        <v>ok</v>
      </c>
      <c r="CR19" s="85"/>
      <c r="CS19" s="85" t="str">
        <f t="shared" si="14"/>
        <v>ok</v>
      </c>
    </row>
    <row r="20" spans="1:97" s="472" customFormat="1" ht="27" customHeight="1">
      <c r="A20" s="399"/>
      <c r="B20" s="247">
        <v>262</v>
      </c>
      <c r="C20" s="403">
        <v>11</v>
      </c>
      <c r="D20" s="277" t="s">
        <v>573</v>
      </c>
      <c r="E20" s="275" t="s">
        <v>321</v>
      </c>
      <c r="F20" s="614"/>
      <c r="G20" s="629"/>
      <c r="H20" s="614"/>
      <c r="I20" s="629"/>
      <c r="J20" s="614"/>
      <c r="K20" s="629"/>
      <c r="L20" s="614"/>
      <c r="M20" s="629"/>
      <c r="N20" s="629"/>
      <c r="O20" s="629"/>
      <c r="P20" s="614"/>
      <c r="Q20" s="629"/>
      <c r="R20" s="614"/>
      <c r="S20" s="629"/>
      <c r="T20" s="614"/>
      <c r="U20" s="629"/>
      <c r="V20" s="614"/>
      <c r="W20" s="629"/>
      <c r="X20" s="614"/>
      <c r="Y20" s="629"/>
      <c r="Z20" s="614"/>
      <c r="AA20" s="629"/>
      <c r="AB20" s="614"/>
      <c r="AC20" s="629"/>
      <c r="AD20" s="614"/>
      <c r="AE20" s="629"/>
      <c r="AF20" s="614"/>
      <c r="AG20" s="629"/>
      <c r="AH20" s="614"/>
      <c r="AI20" s="629"/>
      <c r="AJ20" s="614"/>
      <c r="AK20" s="629"/>
      <c r="AL20" s="614"/>
      <c r="AM20" s="629"/>
      <c r="AN20" s="614"/>
      <c r="AO20" s="629"/>
      <c r="AP20" s="614"/>
      <c r="AQ20" s="629"/>
      <c r="AR20" s="614"/>
      <c r="AS20" s="629"/>
      <c r="AT20" s="614"/>
      <c r="AU20" s="629"/>
      <c r="AV20" s="614"/>
      <c r="AW20" s="629"/>
      <c r="AY20" s="398"/>
      <c r="AZ20" s="99">
        <v>11</v>
      </c>
      <c r="BA20" s="473" t="s">
        <v>573</v>
      </c>
      <c r="BB20" s="99" t="s">
        <v>321</v>
      </c>
      <c r="BC20" s="99" t="s">
        <v>97</v>
      </c>
      <c r="BD20" s="650"/>
      <c r="BE20" s="83" t="str">
        <f>IF(OR(ISBLANK(F20),ISBLANK(H20)),"N/A",IF(ABS(H20-F20)&gt;25,"&gt; 25%","ok"))</f>
        <v>N/A</v>
      </c>
      <c r="BF20" s="650"/>
      <c r="BG20" s="83" t="str">
        <f>IF(OR(ISBLANK(H20),ISBLANK(J20)),"N/A",IF(ABS(J20-H20)&gt;25,"&gt; 25%","ok"))</f>
        <v>N/A</v>
      </c>
      <c r="BH20" s="83"/>
      <c r="BI20" s="83" t="str">
        <f>IF(OR(ISBLANK(J20),ISBLANK(L20)),"N/A",IF(ABS(L20-J20)&gt;25,"&gt; 25%","ok"))</f>
        <v>N/A</v>
      </c>
      <c r="BJ20" s="83"/>
      <c r="BK20" s="83" t="str">
        <f>IF(OR(ISBLANK(L20),ISBLANK(N20)),"N/A",IF(ABS(N20-L20)&gt;25,"&gt; 25%","ok"))</f>
        <v>N/A</v>
      </c>
      <c r="BL20" s="83"/>
      <c r="BM20" s="83" t="str">
        <f>IF(OR(ISBLANK(N20),ISBLANK(P20)),"N/A",IF(ABS(P20-N20)&gt;25,"&gt; 25%","ok"))</f>
        <v>N/A</v>
      </c>
      <c r="BN20" s="83"/>
      <c r="BO20" s="83" t="str">
        <f>IF(OR(ISBLANK(P20),ISBLANK(R20)),"N/A",IF(ABS(R20-P20)&gt;25,"&gt; 25%","ok"))</f>
        <v>N/A</v>
      </c>
      <c r="BP20" s="83"/>
      <c r="BQ20" s="83" t="str">
        <f>IF(OR(ISBLANK(R20),ISBLANK(T20)),"N/A",IF(ABS(T20-R20)&gt;25,"&gt; 25%","ok"))</f>
        <v>N/A</v>
      </c>
      <c r="BR20" s="83"/>
      <c r="BS20" s="83" t="str">
        <f>IF(OR(ISBLANK(T20),ISBLANK(V20)),"N/A",IF(ABS(V20-T20)&gt;25,"&gt; 25%","ok"))</f>
        <v>N/A</v>
      </c>
      <c r="BT20" s="83"/>
      <c r="BU20" s="83" t="str">
        <f>IF(OR(ISBLANK(V20),ISBLANK(X20)),"N/A",IF(ABS(X20-V20)&gt;25,"&gt; 25%","ok"))</f>
        <v>N/A</v>
      </c>
      <c r="BV20" s="83"/>
      <c r="BW20" s="83" t="str">
        <f>IF(OR(ISBLANK(X20),ISBLANK(Z20)),"N/A",IF(ABS(Z20-X20)&gt;25,"&gt; 25%","ok"))</f>
        <v>N/A</v>
      </c>
      <c r="BX20" s="83"/>
      <c r="BY20" s="83" t="str">
        <f>IF(OR(ISBLANK(Z20),ISBLANK(AB20)),"N/A",IF(ABS(AB20-Z20)&gt;25,"&gt; 25%","ok"))</f>
        <v>N/A</v>
      </c>
      <c r="BZ20" s="83"/>
      <c r="CA20" s="83" t="str">
        <f>IF(OR(ISBLANK(AB20),ISBLANK(AD20)),"N/A",IF(ABS(AD20-AB20)&gt;25,"&gt; 25%","ok"))</f>
        <v>N/A</v>
      </c>
      <c r="CB20" s="83"/>
      <c r="CC20" s="83" t="str">
        <f>IF(OR(ISBLANK(AD20),ISBLANK(AF20)),"N/A",IF(ABS(AF20-AD20)&gt;25,"&gt; 25%","ok"))</f>
        <v>N/A</v>
      </c>
      <c r="CD20" s="83"/>
      <c r="CE20" s="83" t="str">
        <f>IF(OR(ISBLANK(AF20),ISBLANK(AH20)),"N/A",IF(ABS(AH20-AF20)&gt;25,"&gt; 25%","ok"))</f>
        <v>N/A</v>
      </c>
      <c r="CF20" s="83"/>
      <c r="CG20" s="83" t="str">
        <f>IF(OR(ISBLANK(AH20),ISBLANK(AJ20)),"N/A",IF(ABS(AJ20-AH20)&gt;25,"&gt; 25%","ok"))</f>
        <v>N/A</v>
      </c>
      <c r="CH20" s="83"/>
      <c r="CI20" s="83" t="str">
        <f>IF(OR(ISBLANK(AJ20),ISBLANK(AL20)),"N/A",IF(ABS(AL20-AJ20)&gt;25,"&gt; 25%","ok"))</f>
        <v>N/A</v>
      </c>
      <c r="CJ20" s="83"/>
      <c r="CK20" s="83" t="str">
        <f>IF(OR(ISBLANK(AL20),ISBLANK(AN20)),"N/A",IF(ABS(AN20-AL20)&gt;25,"&gt; 25%","ok"))</f>
        <v>N/A</v>
      </c>
      <c r="CL20" s="83"/>
      <c r="CM20" s="83" t="str">
        <f t="shared" si="13"/>
        <v>N/A</v>
      </c>
      <c r="CN20" s="650"/>
      <c r="CO20" s="83" t="str">
        <f>IF(OR(ISBLANK(AP20),ISBLANK(AR20)),"N/A",IF(ABS(AR20-AP20)&gt;25,"&gt; 25%","ok"))</f>
        <v>N/A</v>
      </c>
      <c r="CP20" s="83"/>
      <c r="CQ20" s="83" t="str">
        <f>IF(OR(ISBLANK(AR20),ISBLANK(AT20)),"N/A",IF(ABS(AT20-AR20)&gt;25,"&gt; 25%","ok"))</f>
        <v>N/A</v>
      </c>
      <c r="CR20" s="83"/>
      <c r="CS20" s="83" t="str">
        <f t="shared" si="14"/>
        <v>N/A</v>
      </c>
    </row>
    <row r="21" spans="4:52" ht="12" customHeight="1">
      <c r="D21" s="280"/>
      <c r="AZ21" s="376" t="s">
        <v>52</v>
      </c>
    </row>
    <row r="22" spans="3:97" ht="15" customHeight="1">
      <c r="C22" s="366" t="s">
        <v>366</v>
      </c>
      <c r="D22" s="474"/>
      <c r="E22" s="475"/>
      <c r="F22" s="366"/>
      <c r="G22" s="366"/>
      <c r="AZ22" s="243" t="s">
        <v>347</v>
      </c>
      <c r="BA22" s="243" t="s">
        <v>349</v>
      </c>
      <c r="BB22" s="243" t="s">
        <v>352</v>
      </c>
      <c r="BC22" s="656">
        <v>1990</v>
      </c>
      <c r="BD22" s="657"/>
      <c r="BE22" s="656">
        <v>1995</v>
      </c>
      <c r="BF22" s="657"/>
      <c r="BG22" s="656">
        <v>1996</v>
      </c>
      <c r="BH22" s="657"/>
      <c r="BI22" s="656">
        <v>1997</v>
      </c>
      <c r="BJ22" s="657"/>
      <c r="BK22" s="656">
        <v>1998</v>
      </c>
      <c r="BL22" s="657"/>
      <c r="BM22" s="656">
        <v>1999</v>
      </c>
      <c r="BN22" s="657"/>
      <c r="BO22" s="656">
        <v>2000</v>
      </c>
      <c r="BP22" s="657"/>
      <c r="BQ22" s="656">
        <v>2001</v>
      </c>
      <c r="BR22" s="657"/>
      <c r="BS22" s="656">
        <v>2002</v>
      </c>
      <c r="BT22" s="657"/>
      <c r="BU22" s="656">
        <v>2003</v>
      </c>
      <c r="BV22" s="657"/>
      <c r="BW22" s="656">
        <v>2004</v>
      </c>
      <c r="BX22" s="657"/>
      <c r="BY22" s="656">
        <v>2005</v>
      </c>
      <c r="BZ22" s="657"/>
      <c r="CA22" s="656">
        <v>2006</v>
      </c>
      <c r="CB22" s="657"/>
      <c r="CC22" s="656">
        <v>2007</v>
      </c>
      <c r="CD22" s="657"/>
      <c r="CE22" s="656">
        <v>2008</v>
      </c>
      <c r="CF22" s="657"/>
      <c r="CG22" s="656">
        <v>2009</v>
      </c>
      <c r="CH22" s="657"/>
      <c r="CI22" s="656">
        <v>2010</v>
      </c>
      <c r="CJ22" s="657"/>
      <c r="CK22" s="656">
        <v>2011</v>
      </c>
      <c r="CL22" s="658"/>
      <c r="CM22" s="656">
        <v>2012</v>
      </c>
      <c r="CN22" s="657"/>
      <c r="CO22" s="656">
        <v>2013</v>
      </c>
      <c r="CP22" s="657"/>
      <c r="CQ22" s="656">
        <v>2014</v>
      </c>
      <c r="CR22" s="658"/>
      <c r="CS22" s="656">
        <v>2015</v>
      </c>
    </row>
    <row r="23" spans="3:97" ht="17.25" customHeight="1">
      <c r="C23" s="288" t="s">
        <v>167</v>
      </c>
      <c r="D23" s="744" t="s">
        <v>143</v>
      </c>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476"/>
      <c r="AZ23" s="84">
        <v>3</v>
      </c>
      <c r="BA23" s="477" t="s">
        <v>21</v>
      </c>
      <c r="BB23" s="84" t="s">
        <v>360</v>
      </c>
      <c r="BC23" s="84">
        <f>F10</f>
        <v>0</v>
      </c>
      <c r="BD23" s="84"/>
      <c r="BE23" s="84">
        <f>H10</f>
        <v>0</v>
      </c>
      <c r="BF23" s="84"/>
      <c r="BG23" s="84">
        <f>J10</f>
        <v>0</v>
      </c>
      <c r="BH23" s="84"/>
      <c r="BI23" s="84">
        <f>L10</f>
        <v>0</v>
      </c>
      <c r="BJ23" s="84"/>
      <c r="BK23" s="84">
        <f>N10</f>
        <v>0</v>
      </c>
      <c r="BL23" s="84"/>
      <c r="BM23" s="84">
        <f>P10</f>
        <v>0</v>
      </c>
      <c r="BN23" s="84"/>
      <c r="BO23" s="84">
        <f>R10</f>
        <v>0</v>
      </c>
      <c r="BP23" s="84"/>
      <c r="BQ23" s="84">
        <f>T10</f>
        <v>0</v>
      </c>
      <c r="BR23" s="84"/>
      <c r="BS23" s="84">
        <f>V10</f>
        <v>0</v>
      </c>
      <c r="BT23" s="84"/>
      <c r="BU23" s="84">
        <f>X10</f>
        <v>0</v>
      </c>
      <c r="BV23" s="84"/>
      <c r="BW23" s="84">
        <f>Z10</f>
        <v>0</v>
      </c>
      <c r="BX23" s="84"/>
      <c r="BY23" s="84">
        <f>AB10</f>
        <v>0</v>
      </c>
      <c r="BZ23" s="84"/>
      <c r="CA23" s="84">
        <f>AD10</f>
        <v>0</v>
      </c>
      <c r="CB23" s="84"/>
      <c r="CC23" s="84">
        <f>AF10</f>
        <v>0</v>
      </c>
      <c r="CD23" s="84"/>
      <c r="CE23" s="84">
        <f>AH10</f>
        <v>0</v>
      </c>
      <c r="CF23" s="84"/>
      <c r="CG23" s="84">
        <f>AJ10</f>
        <v>0</v>
      </c>
      <c r="CH23" s="84"/>
      <c r="CI23" s="84">
        <f>AL10</f>
        <v>0</v>
      </c>
      <c r="CJ23" s="84"/>
      <c r="CK23" s="84">
        <f>AN10</f>
        <v>0</v>
      </c>
      <c r="CL23" s="84"/>
      <c r="CM23" s="84">
        <f>AP10</f>
        <v>0</v>
      </c>
      <c r="CN23" s="647"/>
      <c r="CO23" s="84">
        <f>AR10</f>
        <v>0</v>
      </c>
      <c r="CP23" s="84"/>
      <c r="CQ23" s="84">
        <f>AT10</f>
        <v>0</v>
      </c>
      <c r="CR23" s="84"/>
      <c r="CS23" s="84">
        <f>AV10</f>
        <v>0</v>
      </c>
    </row>
    <row r="24" spans="1:112" s="453" customFormat="1" ht="25.5" customHeight="1">
      <c r="A24" s="290"/>
      <c r="B24" s="290"/>
      <c r="C24" s="288" t="s">
        <v>167</v>
      </c>
      <c r="D24" s="740" t="s">
        <v>168</v>
      </c>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0"/>
      <c r="AY24" s="476"/>
      <c r="AZ24" s="311">
        <v>12</v>
      </c>
      <c r="BA24" s="478" t="s">
        <v>44</v>
      </c>
      <c r="BB24" s="84" t="s">
        <v>360</v>
      </c>
      <c r="BC24" s="84">
        <f>F8-F9</f>
        <v>0</v>
      </c>
      <c r="BD24" s="84"/>
      <c r="BE24" s="84">
        <f>H8-H9</f>
        <v>0</v>
      </c>
      <c r="BF24" s="84"/>
      <c r="BG24" s="84">
        <f>J8-J9</f>
        <v>0</v>
      </c>
      <c r="BH24" s="84"/>
      <c r="BI24" s="84">
        <f>L8-L9</f>
        <v>0</v>
      </c>
      <c r="BJ24" s="84"/>
      <c r="BK24" s="84">
        <f>N8-N9</f>
        <v>0</v>
      </c>
      <c r="BL24" s="84"/>
      <c r="BM24" s="84">
        <f>P8-P9</f>
        <v>0</v>
      </c>
      <c r="BN24" s="84"/>
      <c r="BO24" s="84">
        <f>R8-R9</f>
        <v>0</v>
      </c>
      <c r="BP24" s="84"/>
      <c r="BQ24" s="84">
        <f>T8-T9</f>
        <v>0</v>
      </c>
      <c r="BR24" s="84"/>
      <c r="BS24" s="84">
        <f>V8-V9</f>
        <v>0</v>
      </c>
      <c r="BT24" s="84"/>
      <c r="BU24" s="84">
        <f>X8-X9</f>
        <v>0</v>
      </c>
      <c r="BV24" s="84"/>
      <c r="BW24" s="84">
        <f>Z8-Z9</f>
        <v>0</v>
      </c>
      <c r="BX24" s="84"/>
      <c r="BY24" s="84">
        <f>AB8-AB9</f>
        <v>0</v>
      </c>
      <c r="BZ24" s="84"/>
      <c r="CA24" s="84">
        <f>AD8-AD9</f>
        <v>0</v>
      </c>
      <c r="CB24" s="84"/>
      <c r="CC24" s="84">
        <f>AF8-AF9</f>
        <v>0</v>
      </c>
      <c r="CD24" s="84"/>
      <c r="CE24" s="84">
        <f>AH8-AH9</f>
        <v>0</v>
      </c>
      <c r="CF24" s="84"/>
      <c r="CG24" s="84">
        <f>AJ8-AJ9</f>
        <v>0</v>
      </c>
      <c r="CH24" s="84"/>
      <c r="CI24" s="84">
        <f>AL8-AL9</f>
        <v>0</v>
      </c>
      <c r="CJ24" s="84"/>
      <c r="CK24" s="84">
        <f>AN8-AN9</f>
        <v>0</v>
      </c>
      <c r="CL24" s="84"/>
      <c r="CM24" s="84">
        <f>AP8-AP9</f>
        <v>0</v>
      </c>
      <c r="CN24" s="647"/>
      <c r="CO24" s="84">
        <f>AR8-AR9</f>
        <v>0</v>
      </c>
      <c r="CP24" s="84"/>
      <c r="CQ24" s="84">
        <f>AT8-AT9</f>
        <v>0</v>
      </c>
      <c r="CR24" s="84"/>
      <c r="CS24" s="84">
        <f>AV8-AV9</f>
        <v>0</v>
      </c>
      <c r="CT24" s="479"/>
      <c r="CU24" s="479"/>
      <c r="CV24" s="479"/>
      <c r="CW24" s="479"/>
      <c r="CX24" s="479"/>
      <c r="CY24" s="479"/>
      <c r="CZ24" s="479"/>
      <c r="DA24" s="479"/>
      <c r="DB24" s="479"/>
      <c r="DC24" s="479"/>
      <c r="DD24" s="479"/>
      <c r="DE24" s="479"/>
      <c r="DF24" s="479"/>
      <c r="DG24" s="479"/>
      <c r="DH24" s="479"/>
    </row>
    <row r="25" spans="1:112" s="453" customFormat="1" ht="14.25" customHeight="1">
      <c r="A25" s="290"/>
      <c r="B25" s="290"/>
      <c r="C25" s="288" t="s">
        <v>167</v>
      </c>
      <c r="D25" s="744" t="s">
        <v>310</v>
      </c>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289"/>
      <c r="AW25" s="289"/>
      <c r="AX25" s="289"/>
      <c r="AY25" s="476"/>
      <c r="AZ25" s="297" t="s">
        <v>203</v>
      </c>
      <c r="BA25" s="294" t="s">
        <v>415</v>
      </c>
      <c r="BB25" s="84"/>
      <c r="BC25" s="84" t="str">
        <f>IF(OR(ISBLANK(F8),ISBLANK(F9),ISBLANK(F10)),"N/A",IF((BC23=BC24),"ok","&lt;&gt;"))</f>
        <v>N/A</v>
      </c>
      <c r="BD25" s="84"/>
      <c r="BE25" s="84" t="str">
        <f>IF(OR(ISBLANK(H8),ISBLANK(H9),ISBLANK(H10)),"N/A",IF((BE23=BE24),"ok","&lt;&gt;"))</f>
        <v>N/A</v>
      </c>
      <c r="BF25" s="84"/>
      <c r="BG25" s="84" t="str">
        <f>IF(OR(ISBLANK(J8),ISBLANK(J9),ISBLANK(J10)),"N/A",IF((BG23=BG24),"ok","&lt;&gt;"))</f>
        <v>N/A</v>
      </c>
      <c r="BH25" s="84"/>
      <c r="BI25" s="84" t="str">
        <f>IF(OR(ISBLANK(L8),ISBLANK(L9),ISBLANK(L10)),"N/A",IF((BI23=BI24),"ok","&lt;&gt;"))</f>
        <v>N/A</v>
      </c>
      <c r="BJ25" s="84"/>
      <c r="BK25" s="84" t="str">
        <f>IF(OR(ISBLANK(N8),ISBLANK(N9),ISBLANK(N10)),"N/A",IF((BK23=BK24),"ok","&lt;&gt;"))</f>
        <v>N/A</v>
      </c>
      <c r="BL25" s="84"/>
      <c r="BM25" s="84" t="str">
        <f>IF(OR(ISBLANK(P8),ISBLANK(P9),ISBLANK(P10)),"N/A",IF((BM23=BM24),"ok","&lt;&gt;"))</f>
        <v>N/A</v>
      </c>
      <c r="BN25" s="84"/>
      <c r="BO25" s="84" t="str">
        <f>IF(OR(ISBLANK(R8),ISBLANK(R9),ISBLANK(R10)),"N/A",IF((BO23=BO24),"ok","&lt;&gt;"))</f>
        <v>N/A</v>
      </c>
      <c r="BP25" s="84"/>
      <c r="BQ25" s="84" t="str">
        <f>IF(OR(ISBLANK(T8),ISBLANK(T9),ISBLANK(T10)),"N/A",IF((BQ23=BQ24),"ok","&lt;&gt;"))</f>
        <v>N/A</v>
      </c>
      <c r="BR25" s="84"/>
      <c r="BS25" s="84" t="str">
        <f>IF(OR(ISBLANK(V8),ISBLANK(V9),ISBLANK(V10)),"N/A",IF((BS23=BS24),"ok","&lt;&gt;"))</f>
        <v>N/A</v>
      </c>
      <c r="BT25" s="84"/>
      <c r="BU25" s="84" t="str">
        <f>IF(OR(ISBLANK(X8),ISBLANK(X9),ISBLANK(X10)),"N/A",IF((BU23=BU24),"ok","&lt;&gt;"))</f>
        <v>N/A</v>
      </c>
      <c r="BV25" s="84"/>
      <c r="BW25" s="84" t="str">
        <f>IF(OR(ISBLANK(Z8),ISBLANK(Z9),ISBLANK(Z10)),"N/A",IF((BW23=BW24),"ok","&lt;&gt;"))</f>
        <v>N/A</v>
      </c>
      <c r="BX25" s="84"/>
      <c r="BY25" s="84" t="str">
        <f>IF(OR(ISBLANK(AB8),ISBLANK(AB9),ISBLANK(AB10)),"N/A",IF((BY23=BY24),"ok","&lt;&gt;"))</f>
        <v>N/A</v>
      </c>
      <c r="BZ25" s="84"/>
      <c r="CA25" s="84" t="str">
        <f>IF(OR(ISBLANK(AD8),ISBLANK(AD9),ISBLANK(AD10)),"N/A",IF((CA23=CA24),"ok","&lt;&gt;"))</f>
        <v>N/A</v>
      </c>
      <c r="CB25" s="84"/>
      <c r="CC25" s="84" t="str">
        <f>IF(OR(ISBLANK(AF8),ISBLANK(AF9),ISBLANK(AF10)),"N/A",IF((CC23=CC24),"ok","&lt;&gt;"))</f>
        <v>N/A</v>
      </c>
      <c r="CD25" s="84"/>
      <c r="CE25" s="84" t="str">
        <f>IF(OR(ISBLANK(AH8),ISBLANK(AH9),ISBLANK(AH10)),"N/A",IF((CE23=CE24),"ok","&lt;&gt;"))</f>
        <v>N/A</v>
      </c>
      <c r="CF25" s="84"/>
      <c r="CG25" s="84" t="str">
        <f>IF(OR(ISBLANK(AJ8),ISBLANK(AJ9),ISBLANK(AJ10)),"N/A",IF((CG23=CG24),"ok","&lt;&gt;"))</f>
        <v>N/A</v>
      </c>
      <c r="CH25" s="84"/>
      <c r="CI25" s="84" t="str">
        <f>IF(OR(ISBLANK(AL8),ISBLANK(AL9),ISBLANK(AL10)),"N/A",IF((CI23=CI24),"ok","&lt;&gt;"))</f>
        <v>N/A</v>
      </c>
      <c r="CJ25" s="84"/>
      <c r="CK25" s="84" t="str">
        <f>IF(OR(ISBLANK(AN8),ISBLANK(AN9),ISBLANK(AN10)),"N/A",IF((CK23=CK24),"ok","&lt;&gt;"))</f>
        <v>N/A</v>
      </c>
      <c r="CL25" s="84"/>
      <c r="CM25" s="84" t="str">
        <f>IF(OR(ISBLANK(AP8),ISBLANK(AP9),ISBLANK(AP10)),"N/A",IF((CM23=CM24),"ok","&lt;&gt;"))</f>
        <v>N/A</v>
      </c>
      <c r="CN25" s="84"/>
      <c r="CO25" s="84" t="str">
        <f>IF(OR(ISBLANK(AR8),ISBLANK(AR9),ISBLANK(AR10)),"N/A",IF((CO23=CO24),"ok","&lt;&gt;"))</f>
        <v>N/A</v>
      </c>
      <c r="CP25" s="84"/>
      <c r="CQ25" s="84" t="str">
        <f>IF(OR(ISBLANK(AT8),ISBLANK(AT9),ISBLANK(AT10)),"N/A",IF((CQ23=CQ24),"ok","&lt;&gt;"))</f>
        <v>N/A</v>
      </c>
      <c r="CR25" s="84"/>
      <c r="CS25" s="84" t="str">
        <f>IF(OR(ISBLANK(AV8),ISBLANK(AV9),ISBLANK(AV10)),"N/A",IF((CS23=CS24),"ok","&lt;&gt;"))</f>
        <v>N/A</v>
      </c>
      <c r="CT25" s="479"/>
      <c r="CU25" s="479"/>
      <c r="CV25" s="479"/>
      <c r="CW25" s="479"/>
      <c r="CX25" s="479"/>
      <c r="CY25" s="479"/>
      <c r="CZ25" s="479"/>
      <c r="DA25" s="479"/>
      <c r="DB25" s="479"/>
      <c r="DC25" s="479"/>
      <c r="DD25" s="479"/>
      <c r="DE25" s="479"/>
      <c r="DF25" s="479"/>
      <c r="DG25" s="479"/>
      <c r="DH25" s="479"/>
    </row>
    <row r="26" spans="1:112" s="453" customFormat="1" ht="21" customHeight="1">
      <c r="A26" s="290"/>
      <c r="B26" s="290"/>
      <c r="C26" s="288" t="s">
        <v>167</v>
      </c>
      <c r="D26" s="744" t="s">
        <v>129</v>
      </c>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744"/>
      <c r="AV26" s="744"/>
      <c r="AW26" s="744"/>
      <c r="AX26" s="744"/>
      <c r="AY26" s="476"/>
      <c r="AZ26" s="311">
        <v>13</v>
      </c>
      <c r="BA26" s="294" t="s">
        <v>91</v>
      </c>
      <c r="BB26" s="84" t="s">
        <v>360</v>
      </c>
      <c r="BC26" s="84">
        <f>SUM(F12:F16)</f>
        <v>0</v>
      </c>
      <c r="BD26" s="84"/>
      <c r="BE26" s="84">
        <f>SUM(H12:H16)</f>
        <v>0</v>
      </c>
      <c r="BF26" s="84"/>
      <c r="BG26" s="84">
        <f>SUM(J12:J16)</f>
        <v>0</v>
      </c>
      <c r="BH26" s="84"/>
      <c r="BI26" s="84">
        <f>SUM(L12:L16)</f>
        <v>0</v>
      </c>
      <c r="BJ26" s="84"/>
      <c r="BK26" s="84">
        <f>SUM(N12:N16)</f>
        <v>0</v>
      </c>
      <c r="BL26" s="84"/>
      <c r="BM26" s="84">
        <f>SUM(P12:P16)</f>
        <v>0</v>
      </c>
      <c r="BN26" s="84"/>
      <c r="BO26" s="84">
        <f>SUM(R12:R16)</f>
        <v>0</v>
      </c>
      <c r="BP26" s="84"/>
      <c r="BQ26" s="84">
        <f>SUM(T12:T16)</f>
        <v>0</v>
      </c>
      <c r="BR26" s="84"/>
      <c r="BS26" s="84">
        <f>SUM(V12:V16)</f>
        <v>0</v>
      </c>
      <c r="BT26" s="84"/>
      <c r="BU26" s="84">
        <f>SUM(X12:X16)</f>
        <v>0</v>
      </c>
      <c r="BV26" s="84"/>
      <c r="BW26" s="84">
        <f>SUM(Z12:Z16)</f>
        <v>0</v>
      </c>
      <c r="BX26" s="84"/>
      <c r="BY26" s="84">
        <f>SUM(AB12:AB16)</f>
        <v>0</v>
      </c>
      <c r="BZ26" s="84"/>
      <c r="CA26" s="84">
        <f>SUM(AD12:AD16)</f>
        <v>0</v>
      </c>
      <c r="CB26" s="84"/>
      <c r="CC26" s="84">
        <f>SUM(AF12:AF16)</f>
        <v>0</v>
      </c>
      <c r="CD26" s="84"/>
      <c r="CE26" s="84">
        <f>SUM(AH12:AH16)</f>
        <v>0</v>
      </c>
      <c r="CF26" s="84"/>
      <c r="CG26" s="84">
        <f>SUM(AJ12:AJ16)</f>
        <v>0</v>
      </c>
      <c r="CH26" s="84"/>
      <c r="CI26" s="84">
        <f>SUM(AL12:AL16)</f>
        <v>0</v>
      </c>
      <c r="CJ26" s="84"/>
      <c r="CK26" s="84">
        <f>SUM(AN12:AN16)</f>
        <v>0</v>
      </c>
      <c r="CL26" s="84"/>
      <c r="CM26" s="84">
        <f>SUM(AP12:AP16)</f>
        <v>0</v>
      </c>
      <c r="CN26" s="84"/>
      <c r="CO26" s="84">
        <f>SUM(AR12:AR16)</f>
        <v>0</v>
      </c>
      <c r="CP26" s="84"/>
      <c r="CQ26" s="84">
        <f>SUM(AT12:AT16)</f>
        <v>0</v>
      </c>
      <c r="CR26" s="84"/>
      <c r="CS26" s="84">
        <f>SUM(AV12:AV16)</f>
        <v>0</v>
      </c>
      <c r="CT26" s="479"/>
      <c r="CU26" s="479"/>
      <c r="CV26" s="479"/>
      <c r="CW26" s="479"/>
      <c r="CX26" s="479"/>
      <c r="CY26" s="479"/>
      <c r="CZ26" s="479"/>
      <c r="DA26" s="479"/>
      <c r="DB26" s="479"/>
      <c r="DC26" s="479"/>
      <c r="DD26" s="479"/>
      <c r="DE26" s="479"/>
      <c r="DF26" s="479"/>
      <c r="DG26" s="479"/>
      <c r="DH26" s="479"/>
    </row>
    <row r="27" spans="1:112" s="453" customFormat="1" ht="16.5" customHeight="1">
      <c r="A27" s="290"/>
      <c r="B27" s="290"/>
      <c r="C27" s="288" t="s">
        <v>167</v>
      </c>
      <c r="D27" s="765" t="s">
        <v>596</v>
      </c>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65"/>
      <c r="AY27" s="476"/>
      <c r="AZ27" s="297" t="s">
        <v>203</v>
      </c>
      <c r="BA27" s="294" t="s">
        <v>416</v>
      </c>
      <c r="BB27" s="84"/>
      <c r="BC27" s="84" t="str">
        <f>IF(OR(ISBLANK(F12),ISBLANK(F13),ISBLANK(F14),ISBLANK(F15),ISBLANK(F16),ISBLANK(F10)),"N/A",IF((BC23=BC26),"ok","&lt;&gt;"))</f>
        <v>N/A</v>
      </c>
      <c r="BD27" s="84"/>
      <c r="BE27" s="84" t="str">
        <f>IF(OR(ISBLANK(H12),ISBLANK(H13),ISBLANK(H14),ISBLANK(H15),ISBLANK(H16),ISBLANK(H10)),"N/A",IF((BE23=BE26),"ok","&lt;&gt;"))</f>
        <v>N/A</v>
      </c>
      <c r="BF27" s="84"/>
      <c r="BG27" s="84" t="str">
        <f>IF(OR(ISBLANK(J12),ISBLANK(J13),ISBLANK(J14),ISBLANK(J15),ISBLANK(J16),ISBLANK(J10)),"N/A",IF((BG23=BG26),"ok","&lt;&gt;"))</f>
        <v>N/A</v>
      </c>
      <c r="BH27" s="84"/>
      <c r="BI27" s="84" t="str">
        <f>IF(OR(ISBLANK(L12),ISBLANK(L13),ISBLANK(L14),ISBLANK(L15),ISBLANK(L16),ISBLANK(L10)),"N/A",IF((BI23=BI26),"ok","&lt;&gt;"))</f>
        <v>N/A</v>
      </c>
      <c r="BJ27" s="84"/>
      <c r="BK27" s="84" t="str">
        <f>IF(OR(ISBLANK(N12),ISBLANK(N13),ISBLANK(N14),ISBLANK(N15),ISBLANK(N16),ISBLANK(N10)),"N/A",IF((BK23=BK26),"ok","&lt;&gt;"))</f>
        <v>N/A</v>
      </c>
      <c r="BL27" s="84"/>
      <c r="BM27" s="84" t="str">
        <f>IF(OR(ISBLANK(P12),ISBLANK(P13),ISBLANK(P14),ISBLANK(P15),ISBLANK(P16),ISBLANK(P10)),"N/A",IF((BM23=BM26),"ok","&lt;&gt;"))</f>
        <v>N/A</v>
      </c>
      <c r="BN27" s="84"/>
      <c r="BO27" s="84" t="str">
        <f>IF(OR(ISBLANK(R12),ISBLANK(R13),ISBLANK(R14),ISBLANK(R15),ISBLANK(R16),ISBLANK(R10)),"N/A",IF((BO23=BO26),"ok","&lt;&gt;"))</f>
        <v>N/A</v>
      </c>
      <c r="BP27" s="84"/>
      <c r="BQ27" s="84" t="str">
        <f>IF(OR(ISBLANK(T12),ISBLANK(T13),ISBLANK(T14),ISBLANK(T15),ISBLANK(T16),ISBLANK(T10)),"N/A",IF((BQ23=BQ26),"ok","&lt;&gt;"))</f>
        <v>N/A</v>
      </c>
      <c r="BR27" s="84"/>
      <c r="BS27" s="84" t="str">
        <f>IF(OR(ISBLANK(V12),ISBLANK(V13),ISBLANK(V14),ISBLANK(V15),ISBLANK(V16),ISBLANK(V10)),"N/A",IF((BS23=BS26),"ok","&lt;&gt;"))</f>
        <v>N/A</v>
      </c>
      <c r="BT27" s="84"/>
      <c r="BU27" s="84" t="str">
        <f>IF(OR(ISBLANK(X12),ISBLANK(X13),ISBLANK(X14),ISBLANK(X15),ISBLANK(X16),ISBLANK(X10)),"N/A",IF((BU23=BU26),"ok","&lt;&gt;"))</f>
        <v>N/A</v>
      </c>
      <c r="BV27" s="84"/>
      <c r="BW27" s="84" t="str">
        <f>IF(OR(ISBLANK(Z12),ISBLANK(Z13),ISBLANK(Z14),ISBLANK(Z15),ISBLANK(Z16),ISBLANK(Z10)),"N/A",IF((BW23=BW26),"ok","&lt;&gt;"))</f>
        <v>N/A</v>
      </c>
      <c r="BX27" s="84"/>
      <c r="BY27" s="84" t="str">
        <f>IF(OR(ISBLANK(AB12),ISBLANK(AB13),ISBLANK(AB14),ISBLANK(AB15),ISBLANK(AB16),ISBLANK(AB10)),"N/A",IF((BY23=BY26),"ok","&lt;&gt;"))</f>
        <v>N/A</v>
      </c>
      <c r="BZ27" s="84"/>
      <c r="CA27" s="84" t="str">
        <f>IF(OR(ISBLANK(AD12),ISBLANK(AD13),ISBLANK(AD14),ISBLANK(AD15),ISBLANK(AD16),ISBLANK(AD10)),"N/A",IF((CA23=CA26),"ok","&lt;&gt;"))</f>
        <v>N/A</v>
      </c>
      <c r="CB27" s="84"/>
      <c r="CC27" s="84" t="str">
        <f>IF(OR(ISBLANK(AF12),ISBLANK(AF13),ISBLANK(AF14),ISBLANK(AF15),ISBLANK(AF16),ISBLANK(AF10)),"N/A",IF((CC23=CC26),"ok","&lt;&gt;"))</f>
        <v>N/A</v>
      </c>
      <c r="CD27" s="84"/>
      <c r="CE27" s="84" t="str">
        <f>IF(OR(ISBLANK(AH12),ISBLANK(AH13),ISBLANK(AH14),ISBLANK(AH15),ISBLANK(AH16),ISBLANK(AH10)),"N/A",IF((CE23=CE26),"ok","&lt;&gt;"))</f>
        <v>N/A</v>
      </c>
      <c r="CF27" s="84"/>
      <c r="CG27" s="84" t="str">
        <f>IF(OR(ISBLANK(AJ12),ISBLANK(AJ13),ISBLANK(AJ14),ISBLANK(AJ15),ISBLANK(AJ16),ISBLANK(AJ10)),"N/A",IF((CG23=CG26),"ok","&lt;&gt;"))</f>
        <v>N/A</v>
      </c>
      <c r="CH27" s="84"/>
      <c r="CI27" s="84" t="str">
        <f>IF(OR(ISBLANK(AL12),ISBLANK(AL13),ISBLANK(AL14),ISBLANK(AL15),ISBLANK(AL16),ISBLANK(AL10)),"N/A",IF((CI23=CI26),"ok","&lt;&gt;"))</f>
        <v>N/A</v>
      </c>
      <c r="CJ27" s="84"/>
      <c r="CK27" s="84" t="str">
        <f>IF(OR(ISBLANK(AN12),ISBLANK(AN13),ISBLANK(AN14),ISBLANK(AN15),ISBLANK(AN16),ISBLANK(AN10)),"N/A",IF((CK23=CK26),"ok","&lt;&gt;"))</f>
        <v>N/A</v>
      </c>
      <c r="CL27" s="84"/>
      <c r="CM27" s="84" t="str">
        <f>IF(OR(ISBLANK(AP12),ISBLANK(AP13),ISBLANK(AP14),ISBLANK(AP15),ISBLANK(AP16),ISBLANK(AP10)),"N/A",IF((CM23=CM26),"ok","&lt;&gt;"))</f>
        <v>N/A</v>
      </c>
      <c r="CN27" s="84"/>
      <c r="CO27" s="84" t="str">
        <f>IF(OR(ISBLANK(AR12),ISBLANK(AR13),ISBLANK(AR14),ISBLANK(AR15),ISBLANK(AR16),ISBLANK(AR10)),"N/A",IF((CO23=CO26),"ok","&lt;&gt;"))</f>
        <v>N/A</v>
      </c>
      <c r="CP27" s="84"/>
      <c r="CQ27" s="84" t="str">
        <f>IF(OR(ISBLANK(AT12),ISBLANK(AT13),ISBLANK(AT14),ISBLANK(AT15),ISBLANK(AT16),ISBLANK(AT10)),"N/A",IF((CQ23=CQ26),"ok","&lt;&gt;"))</f>
        <v>N/A</v>
      </c>
      <c r="CR27" s="84"/>
      <c r="CS27" s="84" t="str">
        <f>IF(OR(ISBLANK(AV12),ISBLANK(AV13),ISBLANK(AV14),ISBLANK(AV15),ISBLANK(AV16),ISBLANK(AV10)),"N/A",IF((CS23=CS26),"ok","&lt;&gt;"))</f>
        <v>N/A</v>
      </c>
      <c r="CT27" s="479"/>
      <c r="CU27" s="479"/>
      <c r="CV27" s="479"/>
      <c r="CW27" s="479"/>
      <c r="CX27" s="479"/>
      <c r="CY27" s="479"/>
      <c r="CZ27" s="479"/>
      <c r="DA27" s="479"/>
      <c r="DB27" s="479"/>
      <c r="DC27" s="479"/>
      <c r="DD27" s="479"/>
      <c r="DE27" s="479"/>
      <c r="DF27" s="479"/>
      <c r="DG27" s="479"/>
      <c r="DH27" s="479"/>
    </row>
    <row r="28" spans="1:112" ht="20.25" customHeight="1">
      <c r="A28" s="290"/>
      <c r="B28" s="290"/>
      <c r="C28" s="28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828" t="str">
        <f>D12&amp;" (W3,4)"</f>
        <v>Households (W3,4)</v>
      </c>
      <c r="AM28" s="829"/>
      <c r="AN28" s="829"/>
      <c r="AO28" s="829"/>
      <c r="AP28" s="829"/>
      <c r="AQ28" s="829"/>
      <c r="AR28" s="829"/>
      <c r="AS28" s="829"/>
      <c r="AT28" s="829"/>
      <c r="AU28" s="830"/>
      <c r="AV28" s="480"/>
      <c r="AW28" s="481"/>
      <c r="AX28" s="298"/>
      <c r="AY28" s="482"/>
      <c r="AZ28" s="325" t="s">
        <v>203</v>
      </c>
      <c r="BA28" s="483" t="s">
        <v>417</v>
      </c>
      <c r="BB28" s="102"/>
      <c r="BC28" s="102" t="str">
        <f>IF(OR(ISBLANK(F18),ISBLANK(F19),ISBLANK(F20)),"N/A",IF(F18&lt;F20,"&lt;&gt;",IF(F18&gt;F19,"&lt;&gt;","ok")))</f>
        <v>N/A</v>
      </c>
      <c r="BD28" s="99"/>
      <c r="BE28" s="102" t="str">
        <f>IF(OR(ISBLANK(H18),ISBLANK(H19),ISBLANK(H20)),"N/A",IF(H18&lt;H20,"&lt;&gt;",IF(H18&gt;H19,"&lt;&gt;","ok")))</f>
        <v>N/A</v>
      </c>
      <c r="BF28" s="99"/>
      <c r="BG28" s="102" t="str">
        <f>IF(OR(ISBLANK(J18),ISBLANK(J19),ISBLANK(J20)),"N/A",IF(J18&lt;J20,"&lt;&gt;",IF(J18&gt;J19,"&lt;&gt;","ok")))</f>
        <v>N/A</v>
      </c>
      <c r="BH28" s="99"/>
      <c r="BI28" s="102" t="str">
        <f>IF(OR(ISBLANK(L18),ISBLANK(L19),ISBLANK(L20)),"N/A",IF(L18&lt;L20,"&lt;&gt;",IF(L18&gt;L19,"&lt;&gt;","ok")))</f>
        <v>N/A</v>
      </c>
      <c r="BJ28" s="99"/>
      <c r="BK28" s="102" t="str">
        <f>IF(OR(ISBLANK(N18),ISBLANK(N19),ISBLANK(N20)),"N/A",IF(N18&lt;N20,"&lt;&gt;",IF(N18&gt;N19,"&lt;&gt;","ok")))</f>
        <v>N/A</v>
      </c>
      <c r="BL28" s="99"/>
      <c r="BM28" s="102" t="str">
        <f>IF(OR(ISBLANK(P18),ISBLANK(P19),ISBLANK(P20)),"N/A",IF(P18&lt;P20,"&lt;&gt;",IF(P18&gt;P19,"&lt;&gt;","ok")))</f>
        <v>N/A</v>
      </c>
      <c r="BN28" s="99"/>
      <c r="BO28" s="102" t="str">
        <f>IF(OR(ISBLANK(R18),ISBLANK(R19),ISBLANK(R20)),"N/A",IF(R18&lt;R20,"&lt;&gt;",IF(R18&gt;R19,"&lt;&gt;","ok")))</f>
        <v>N/A</v>
      </c>
      <c r="BP28" s="99"/>
      <c r="BQ28" s="102" t="str">
        <f>IF(OR(ISBLANK(T18),ISBLANK(T19),ISBLANK(T20)),"N/A",IF(T18&lt;T20,"&lt;&gt;",IF(T18&gt;T19,"&lt;&gt;","ok")))</f>
        <v>N/A</v>
      </c>
      <c r="BR28" s="99"/>
      <c r="BS28" s="102" t="str">
        <f>IF(OR(ISBLANK(V18),ISBLANK(V19),ISBLANK(V20)),"N/A",IF(V18&lt;V20,"&lt;&gt;",IF(V18&gt;V19,"&lt;&gt;","ok")))</f>
        <v>N/A</v>
      </c>
      <c r="BT28" s="99"/>
      <c r="BU28" s="102" t="str">
        <f>IF(OR(ISBLANK(X18),ISBLANK(X19),ISBLANK(X20)),"N/A",IF(X18&lt;X20,"&lt;&gt;",IF(X18&gt;X19,"&lt;&gt;","ok")))</f>
        <v>N/A</v>
      </c>
      <c r="BV28" s="99"/>
      <c r="BW28" s="102" t="str">
        <f>IF(OR(ISBLANK(Z18),ISBLANK(Z19),ISBLANK(Z20)),"N/A",IF(Z18&lt;Z20,"&lt;&gt;",IF(Z18&gt;Z19,"&lt;&gt;","ok")))</f>
        <v>N/A</v>
      </c>
      <c r="BX28" s="99"/>
      <c r="BY28" s="102" t="str">
        <f>IF(OR(ISBLANK(AB18),ISBLANK(AB19),ISBLANK(AB20)),"N/A",IF(AB18&lt;AB20,"&lt;&gt;",IF(AB18&gt;AB19,"&lt;&gt;","ok")))</f>
        <v>N/A</v>
      </c>
      <c r="BZ28" s="99"/>
      <c r="CA28" s="102" t="str">
        <f>IF(OR(ISBLANK(AD18),ISBLANK(AD19),ISBLANK(AD20)),"N/A",IF(AD18&lt;AD20,"&lt;&gt;",IF(AD18&gt;AD19,"&lt;&gt;","ok")))</f>
        <v>N/A</v>
      </c>
      <c r="CB28" s="99"/>
      <c r="CC28" s="102" t="str">
        <f>IF(OR(ISBLANK(AF18),ISBLANK(AF19),ISBLANK(AF20)),"N/A",IF(AF18&lt;AF20,"&lt;&gt;",IF(AF18&gt;AF19,"&lt;&gt;","ok")))</f>
        <v>N/A</v>
      </c>
      <c r="CD28" s="99"/>
      <c r="CE28" s="102" t="str">
        <f>IF(OR(ISBLANK(AH18),ISBLANK(AH19),ISBLANK(AH20)),"N/A",IF(AH18&lt;AH20,"&lt;&gt;",IF(AH18&gt;AH19,"&lt;&gt;","ok")))</f>
        <v>N/A</v>
      </c>
      <c r="CF28" s="99"/>
      <c r="CG28" s="102" t="str">
        <f>IF(OR(ISBLANK(AJ18),ISBLANK(AJ19),ISBLANK(AJ20)),"N/A",IF(AJ18&lt;AJ20,"&lt;&gt;",IF(AJ18&gt;AJ19,"&lt;&gt;","ok")))</f>
        <v>N/A</v>
      </c>
      <c r="CH28" s="99"/>
      <c r="CI28" s="102" t="str">
        <f>IF(OR(ISBLANK(AL18),ISBLANK(AL19),ISBLANK(AL20)),"N/A",IF(AL18&lt;AL20,"&lt;&gt;",IF(AL18&gt;AL19,"&lt;&gt;","ok")))</f>
        <v>N/A</v>
      </c>
      <c r="CJ28" s="99"/>
      <c r="CK28" s="102" t="str">
        <f>IF(OR(ISBLANK(AN18),ISBLANK(AN19),ISBLANK(AN20)),"N/A",IF(AN18&lt;AN20,"&lt;&gt;",IF(AN18&gt;AN19,"&lt;&gt;","ok")))</f>
        <v>N/A</v>
      </c>
      <c r="CL28" s="99"/>
      <c r="CM28" s="102" t="str">
        <f>IF(OR(ISBLANK(AP18),ISBLANK(AP19),ISBLANK(AP20)),"N/A",IF(AP18&lt;AP20,"&lt;&gt;",IF(AP18&gt;AP19,"&lt;&gt;","ok")))</f>
        <v>N/A</v>
      </c>
      <c r="CN28" s="99"/>
      <c r="CO28" s="102" t="str">
        <f>IF(OR(ISBLANK(AR18),ISBLANK(AR19),ISBLANK(AR20)),"N/A",IF(AR18&lt;AR20,"&lt;&gt;",IF(AR18&gt;AR19,"&lt;&gt;","ok")))</f>
        <v>N/A</v>
      </c>
      <c r="CP28" s="99"/>
      <c r="CQ28" s="102" t="str">
        <f>IF(OR(ISBLANK(AT18),ISBLANK(AT19),ISBLANK(AT20)),"N/A",IF(AT18&lt;AT20,"&lt;&gt;",IF(AT18&gt;AT19,"&lt;&gt;","ok")))</f>
        <v>N/A</v>
      </c>
      <c r="CR28" s="99"/>
      <c r="CS28" s="102" t="str">
        <f>IF(OR(ISBLANK(AV18),ISBLANK(AV19),ISBLANK(AV20)),"N/A",IF(AV18&lt;AV20,"&lt;&gt;",IF(AV18&gt;AV19,"&lt;&gt;","ok")))</f>
        <v>N/A</v>
      </c>
      <c r="CT28" s="295"/>
      <c r="CU28" s="295"/>
      <c r="CV28" s="295"/>
      <c r="CW28" s="295"/>
      <c r="CX28" s="295"/>
      <c r="CY28" s="295"/>
      <c r="CZ28" s="295"/>
      <c r="DA28" s="295"/>
      <c r="DB28" s="295"/>
      <c r="DC28" s="295"/>
      <c r="DD28" s="295"/>
      <c r="DE28" s="295"/>
      <c r="DF28" s="295"/>
      <c r="DG28" s="295"/>
      <c r="DH28" s="295"/>
    </row>
    <row r="29" spans="1:112" ht="3.75" customHeight="1">
      <c r="A29" s="290"/>
      <c r="B29" s="290"/>
      <c r="C29" s="28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484"/>
      <c r="AM29" s="484"/>
      <c r="AN29" s="484"/>
      <c r="AO29" s="484"/>
      <c r="AP29" s="484"/>
      <c r="AQ29" s="484"/>
      <c r="AR29" s="484"/>
      <c r="AS29" s="484"/>
      <c r="AT29" s="484"/>
      <c r="AU29" s="484"/>
      <c r="AV29" s="298"/>
      <c r="AW29" s="485"/>
      <c r="AX29" s="298"/>
      <c r="AY29" s="482"/>
      <c r="AZ29" s="84"/>
      <c r="BA29" s="486"/>
      <c r="BB29" s="84"/>
      <c r="BC29" s="84"/>
      <c r="BD29" s="84"/>
      <c r="BE29" s="85"/>
      <c r="BF29" s="85"/>
      <c r="BG29" s="85"/>
      <c r="BH29" s="85"/>
      <c r="BI29" s="85"/>
      <c r="BJ29" s="85"/>
      <c r="BK29" s="85"/>
      <c r="BL29" s="85"/>
      <c r="BM29" s="85"/>
      <c r="BN29" s="85"/>
      <c r="BO29" s="85"/>
      <c r="BP29" s="85"/>
      <c r="BQ29" s="85"/>
      <c r="BR29" s="85"/>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295"/>
      <c r="CU29" s="295"/>
      <c r="CV29" s="295"/>
      <c r="CW29" s="295"/>
      <c r="CX29" s="295"/>
      <c r="CY29" s="295"/>
      <c r="CZ29" s="295"/>
      <c r="DA29" s="295"/>
      <c r="DB29" s="295"/>
      <c r="DC29" s="295"/>
      <c r="DD29" s="295"/>
      <c r="DE29" s="295"/>
      <c r="DF29" s="295"/>
      <c r="DG29" s="295"/>
      <c r="DH29" s="295"/>
    </row>
    <row r="30" spans="1:112" ht="33.75" customHeight="1">
      <c r="A30" s="290"/>
      <c r="B30" s="290"/>
      <c r="C30" s="288"/>
      <c r="D30" s="304"/>
      <c r="E30" s="822" t="str">
        <f>D8&amp;" (W3, 1)"</f>
        <v>Gross freshwater supplied by water supply industry (ISIC 36) (W3, 1)</v>
      </c>
      <c r="F30" s="839"/>
      <c r="G30" s="839"/>
      <c r="H30" s="839"/>
      <c r="I30" s="839"/>
      <c r="J30" s="839"/>
      <c r="K30" s="839"/>
      <c r="L30" s="839"/>
      <c r="M30" s="839"/>
      <c r="N30" s="839"/>
      <c r="O30" s="839"/>
      <c r="P30" s="839"/>
      <c r="Q30" s="839"/>
      <c r="R30" s="839"/>
      <c r="S30" s="839"/>
      <c r="T30" s="839"/>
      <c r="U30" s="839"/>
      <c r="V30" s="839"/>
      <c r="W30" s="839"/>
      <c r="X30" s="839"/>
      <c r="Y30" s="839"/>
      <c r="Z30" s="840"/>
      <c r="AA30" s="301"/>
      <c r="AB30" s="300"/>
      <c r="AC30" s="300"/>
      <c r="AD30" s="822" t="str">
        <f>LEFT(D10,LEN(D10)-21)&amp;" (W3,3)"</f>
        <v>Net freshwater supplied by water supply industry (ISIC 36) (W3,3)</v>
      </c>
      <c r="AE30" s="831"/>
      <c r="AF30" s="832"/>
      <c r="AG30" s="487"/>
      <c r="AH30" s="821" t="str">
        <f>D11</f>
        <v>of which supplied to:</v>
      </c>
      <c r="AI30" s="821"/>
      <c r="AJ30" s="298"/>
      <c r="AK30" s="298"/>
      <c r="AL30" s="828" t="str">
        <f>D13&amp;" (W3,5)"</f>
        <v>Agriculture, forestry and fishing (ISIC 01-03) (W3,5)</v>
      </c>
      <c r="AM30" s="829"/>
      <c r="AN30" s="829"/>
      <c r="AO30" s="829"/>
      <c r="AP30" s="829"/>
      <c r="AQ30" s="829"/>
      <c r="AR30" s="829"/>
      <c r="AS30" s="829"/>
      <c r="AT30" s="829"/>
      <c r="AU30" s="830"/>
      <c r="AV30" s="480"/>
      <c r="AW30" s="481"/>
      <c r="AX30" s="298"/>
      <c r="AY30" s="482"/>
      <c r="AZ30" s="327" t="s">
        <v>66</v>
      </c>
      <c r="BA30" s="328" t="s">
        <v>67</v>
      </c>
      <c r="CT30" s="295"/>
      <c r="CU30" s="295"/>
      <c r="CV30" s="295"/>
      <c r="CW30" s="295"/>
      <c r="CX30" s="295"/>
      <c r="CY30" s="295"/>
      <c r="CZ30" s="295"/>
      <c r="DA30" s="295"/>
      <c r="DB30" s="295"/>
      <c r="DC30" s="295"/>
      <c r="DD30" s="295"/>
      <c r="DE30" s="295"/>
      <c r="DF30" s="295"/>
      <c r="DG30" s="295"/>
      <c r="DH30" s="295"/>
    </row>
    <row r="31" spans="1:112" ht="2.25" customHeight="1">
      <c r="A31" s="290"/>
      <c r="B31" s="290"/>
      <c r="C31" s="288"/>
      <c r="D31" s="304"/>
      <c r="E31" s="841"/>
      <c r="F31" s="842"/>
      <c r="G31" s="842"/>
      <c r="H31" s="842"/>
      <c r="I31" s="842"/>
      <c r="J31" s="842"/>
      <c r="K31" s="842"/>
      <c r="L31" s="842"/>
      <c r="M31" s="842"/>
      <c r="N31" s="842"/>
      <c r="O31" s="842"/>
      <c r="P31" s="842"/>
      <c r="Q31" s="842"/>
      <c r="R31" s="842"/>
      <c r="S31" s="842"/>
      <c r="T31" s="842"/>
      <c r="U31" s="842"/>
      <c r="V31" s="842"/>
      <c r="W31" s="842"/>
      <c r="X31" s="842"/>
      <c r="Y31" s="842"/>
      <c r="Z31" s="843"/>
      <c r="AA31" s="301"/>
      <c r="AB31" s="300"/>
      <c r="AC31" s="300"/>
      <c r="AD31" s="833"/>
      <c r="AE31" s="834"/>
      <c r="AF31" s="835"/>
      <c r="AG31" s="487"/>
      <c r="AH31" s="487"/>
      <c r="AI31" s="487"/>
      <c r="AJ31" s="298"/>
      <c r="AK31" s="298"/>
      <c r="AL31" s="484"/>
      <c r="AM31" s="484"/>
      <c r="AN31" s="484"/>
      <c r="AO31" s="484"/>
      <c r="AP31" s="484"/>
      <c r="AQ31" s="484"/>
      <c r="AR31" s="484"/>
      <c r="AS31" s="484"/>
      <c r="AT31" s="484"/>
      <c r="AU31" s="484"/>
      <c r="AV31" s="298"/>
      <c r="AW31" s="485"/>
      <c r="AX31" s="298"/>
      <c r="AY31" s="482"/>
      <c r="BB31" s="100"/>
      <c r="BC31" s="100"/>
      <c r="BD31" s="100"/>
      <c r="BE31" s="118"/>
      <c r="BF31" s="118"/>
      <c r="BG31" s="118"/>
      <c r="BH31" s="118"/>
      <c r="BI31" s="118"/>
      <c r="BJ31" s="118"/>
      <c r="BK31" s="118"/>
      <c r="BL31" s="118"/>
      <c r="BM31" s="118"/>
      <c r="BN31" s="118"/>
      <c r="BO31" s="118"/>
      <c r="BP31" s="118"/>
      <c r="BQ31" s="118"/>
      <c r="BR31" s="118"/>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295"/>
      <c r="CU31" s="295"/>
      <c r="CV31" s="295"/>
      <c r="CW31" s="295"/>
      <c r="CX31" s="295"/>
      <c r="CY31" s="295"/>
      <c r="CZ31" s="295"/>
      <c r="DA31" s="295"/>
      <c r="DB31" s="295"/>
      <c r="DC31" s="295"/>
      <c r="DD31" s="295"/>
      <c r="DE31" s="295"/>
      <c r="DF31" s="295"/>
      <c r="DG31" s="295"/>
      <c r="DH31" s="295"/>
    </row>
    <row r="32" spans="1:112" ht="28.5" customHeight="1">
      <c r="A32" s="290"/>
      <c r="B32" s="290"/>
      <c r="C32" s="288"/>
      <c r="D32" s="302"/>
      <c r="E32" s="844"/>
      <c r="F32" s="845"/>
      <c r="G32" s="845"/>
      <c r="H32" s="845"/>
      <c r="I32" s="845"/>
      <c r="J32" s="845"/>
      <c r="K32" s="845"/>
      <c r="L32" s="845"/>
      <c r="M32" s="845"/>
      <c r="N32" s="845"/>
      <c r="O32" s="845"/>
      <c r="P32" s="845"/>
      <c r="Q32" s="845"/>
      <c r="R32" s="845"/>
      <c r="S32" s="845"/>
      <c r="T32" s="845"/>
      <c r="U32" s="845"/>
      <c r="V32" s="845"/>
      <c r="W32" s="845"/>
      <c r="X32" s="845"/>
      <c r="Y32" s="845"/>
      <c r="Z32" s="846"/>
      <c r="AA32" s="301"/>
      <c r="AB32" s="300"/>
      <c r="AC32" s="300"/>
      <c r="AD32" s="836"/>
      <c r="AE32" s="837"/>
      <c r="AF32" s="838"/>
      <c r="AG32" s="298"/>
      <c r="AH32" s="298"/>
      <c r="AI32" s="298"/>
      <c r="AJ32" s="298"/>
      <c r="AK32" s="298"/>
      <c r="AL32" s="828" t="str">
        <f>D14&amp;" (W3,6)"</f>
        <v>Manufacturing (ISIC 10-33) (W3,6)</v>
      </c>
      <c r="AM32" s="829"/>
      <c r="AN32" s="829"/>
      <c r="AO32" s="829"/>
      <c r="AP32" s="829"/>
      <c r="AQ32" s="829"/>
      <c r="AR32" s="829"/>
      <c r="AS32" s="829"/>
      <c r="AT32" s="829"/>
      <c r="AU32" s="830"/>
      <c r="AV32" s="480"/>
      <c r="AW32" s="481"/>
      <c r="AX32" s="298"/>
      <c r="AY32" s="482"/>
      <c r="AZ32" s="327" t="s">
        <v>68</v>
      </c>
      <c r="BA32" s="328" t="s">
        <v>69</v>
      </c>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295"/>
      <c r="CU32" s="295"/>
      <c r="CV32" s="295"/>
      <c r="CW32" s="295"/>
      <c r="CX32" s="295"/>
      <c r="CY32" s="295"/>
      <c r="CZ32" s="295"/>
      <c r="DA32" s="295"/>
      <c r="DB32" s="295"/>
      <c r="DC32" s="295"/>
      <c r="DD32" s="295"/>
      <c r="DE32" s="295"/>
      <c r="DF32" s="295"/>
      <c r="DG32" s="295"/>
      <c r="DH32" s="295"/>
    </row>
    <row r="33" spans="1:112" ht="2.25" customHeight="1">
      <c r="A33" s="290"/>
      <c r="B33" s="290"/>
      <c r="C33" s="288"/>
      <c r="D33" s="298"/>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298"/>
      <c r="AH33" s="298"/>
      <c r="AI33" s="298"/>
      <c r="AJ33" s="298"/>
      <c r="AK33" s="298"/>
      <c r="AL33" s="484"/>
      <c r="AM33" s="484"/>
      <c r="AN33" s="484"/>
      <c r="AO33" s="484"/>
      <c r="AP33" s="484"/>
      <c r="AQ33" s="484"/>
      <c r="AR33" s="484"/>
      <c r="AS33" s="484"/>
      <c r="AT33" s="484"/>
      <c r="AU33" s="484"/>
      <c r="AV33" s="298"/>
      <c r="AW33" s="485"/>
      <c r="AX33" s="298"/>
      <c r="AY33" s="482"/>
      <c r="BB33" s="100"/>
      <c r="BC33" s="100"/>
      <c r="BD33" s="100"/>
      <c r="BE33" s="118"/>
      <c r="BF33" s="118"/>
      <c r="BG33" s="118"/>
      <c r="BH33" s="118"/>
      <c r="BI33" s="118"/>
      <c r="BJ33" s="118"/>
      <c r="BK33" s="118"/>
      <c r="BL33" s="118"/>
      <c r="BM33" s="118"/>
      <c r="BN33" s="118"/>
      <c r="BO33" s="118"/>
      <c r="BP33" s="118"/>
      <c r="BQ33" s="118"/>
      <c r="BR33" s="118"/>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295"/>
      <c r="CU33" s="295"/>
      <c r="CV33" s="295"/>
      <c r="CW33" s="295"/>
      <c r="CX33" s="295"/>
      <c r="CY33" s="295"/>
      <c r="CZ33" s="295"/>
      <c r="DA33" s="295"/>
      <c r="DB33" s="295"/>
      <c r="DC33" s="295"/>
      <c r="DD33" s="295"/>
      <c r="DE33" s="295"/>
      <c r="DF33" s="295"/>
      <c r="DG33" s="295"/>
      <c r="DH33" s="295"/>
    </row>
    <row r="34" spans="1:112" ht="24" customHeight="1">
      <c r="A34" s="290"/>
      <c r="B34" s="290"/>
      <c r="C34" s="288"/>
      <c r="D34" s="298"/>
      <c r="E34" s="301"/>
      <c r="F34" s="301"/>
      <c r="G34" s="301"/>
      <c r="H34" s="301"/>
      <c r="I34" s="301"/>
      <c r="J34" s="301"/>
      <c r="K34" s="301"/>
      <c r="L34" s="301"/>
      <c r="M34" s="301"/>
      <c r="N34" s="301"/>
      <c r="O34" s="301"/>
      <c r="P34" s="301"/>
      <c r="Q34" s="301"/>
      <c r="R34" s="301"/>
      <c r="S34" s="301"/>
      <c r="T34" s="301"/>
      <c r="U34" s="301"/>
      <c r="V34" s="301"/>
      <c r="W34" s="301"/>
      <c r="X34" s="488"/>
      <c r="Y34" s="307"/>
      <c r="Z34" s="307"/>
      <c r="AA34" s="301"/>
      <c r="AB34" s="301"/>
      <c r="AC34" s="301"/>
      <c r="AD34" s="301"/>
      <c r="AE34" s="301"/>
      <c r="AF34" s="301"/>
      <c r="AG34" s="298"/>
      <c r="AH34" s="298"/>
      <c r="AI34" s="298"/>
      <c r="AJ34" s="298"/>
      <c r="AK34" s="298"/>
      <c r="AL34" s="828" t="str">
        <f>D15&amp;" (W3,7)"</f>
        <v>Electricity industry (ISIC 351) (W3,7)</v>
      </c>
      <c r="AM34" s="829"/>
      <c r="AN34" s="829"/>
      <c r="AO34" s="829"/>
      <c r="AP34" s="829"/>
      <c r="AQ34" s="829"/>
      <c r="AR34" s="829"/>
      <c r="AS34" s="829"/>
      <c r="AT34" s="829"/>
      <c r="AU34" s="830"/>
      <c r="AV34" s="480"/>
      <c r="AW34" s="481"/>
      <c r="AX34" s="298"/>
      <c r="AY34" s="482"/>
      <c r="AZ34" s="329" t="s">
        <v>71</v>
      </c>
      <c r="BA34" s="328" t="s">
        <v>73</v>
      </c>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295"/>
      <c r="CU34" s="295"/>
      <c r="CV34" s="295"/>
      <c r="CW34" s="295"/>
      <c r="CX34" s="295"/>
      <c r="CY34" s="295"/>
      <c r="CZ34" s="295"/>
      <c r="DA34" s="295"/>
      <c r="DB34" s="295"/>
      <c r="DC34" s="295"/>
      <c r="DD34" s="295"/>
      <c r="DE34" s="295"/>
      <c r="DF34" s="295"/>
      <c r="DG34" s="295"/>
      <c r="DH34" s="295"/>
    </row>
    <row r="35" spans="1:112" ht="2.25" customHeight="1">
      <c r="A35" s="290"/>
      <c r="B35" s="290"/>
      <c r="C35" s="288"/>
      <c r="D35" s="298"/>
      <c r="E35" s="301"/>
      <c r="F35" s="301"/>
      <c r="G35" s="301"/>
      <c r="H35" s="301"/>
      <c r="I35" s="301"/>
      <c r="J35" s="301"/>
      <c r="K35" s="301"/>
      <c r="L35" s="301"/>
      <c r="M35" s="301"/>
      <c r="N35" s="301"/>
      <c r="O35" s="301"/>
      <c r="P35" s="301"/>
      <c r="Q35" s="301"/>
      <c r="R35" s="301"/>
      <c r="S35" s="301"/>
      <c r="T35" s="301"/>
      <c r="U35" s="301"/>
      <c r="V35" s="301"/>
      <c r="W35" s="301"/>
      <c r="X35" s="481"/>
      <c r="Y35" s="299"/>
      <c r="Z35" s="822" t="str">
        <f>D9&amp;" (W3, 2)"</f>
        <v>Losses during transport by ISIC 36 (W3, 2)</v>
      </c>
      <c r="AA35" s="823"/>
      <c r="AB35" s="823"/>
      <c r="AC35" s="823"/>
      <c r="AD35" s="823"/>
      <c r="AE35" s="824"/>
      <c r="AF35" s="301"/>
      <c r="AG35" s="298"/>
      <c r="AH35" s="298"/>
      <c r="AI35" s="298"/>
      <c r="AJ35" s="298"/>
      <c r="AK35" s="298"/>
      <c r="AL35" s="484"/>
      <c r="AM35" s="484"/>
      <c r="AN35" s="484"/>
      <c r="AO35" s="484"/>
      <c r="AP35" s="484"/>
      <c r="AQ35" s="484"/>
      <c r="AR35" s="484"/>
      <c r="AS35" s="484"/>
      <c r="AT35" s="484"/>
      <c r="AU35" s="484"/>
      <c r="AV35" s="298"/>
      <c r="AW35" s="485"/>
      <c r="AX35" s="298"/>
      <c r="AY35" s="482"/>
      <c r="AZ35" s="100"/>
      <c r="BA35" s="489"/>
      <c r="BB35" s="100"/>
      <c r="BC35" s="100"/>
      <c r="BD35" s="100"/>
      <c r="BE35" s="118"/>
      <c r="BF35" s="118"/>
      <c r="BG35" s="118"/>
      <c r="BH35" s="118"/>
      <c r="BI35" s="118"/>
      <c r="BJ35" s="118"/>
      <c r="BK35" s="118"/>
      <c r="BL35" s="118"/>
      <c r="BM35" s="118"/>
      <c r="BN35" s="118"/>
      <c r="BO35" s="118"/>
      <c r="BP35" s="118"/>
      <c r="BQ35" s="118"/>
      <c r="BR35" s="118"/>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295"/>
      <c r="CU35" s="295"/>
      <c r="CV35" s="295"/>
      <c r="CW35" s="295"/>
      <c r="CX35" s="295"/>
      <c r="CY35" s="295"/>
      <c r="CZ35" s="295"/>
      <c r="DA35" s="295"/>
      <c r="DB35" s="295"/>
      <c r="DC35" s="295"/>
      <c r="DD35" s="295"/>
      <c r="DE35" s="295"/>
      <c r="DF35" s="295"/>
      <c r="DG35" s="295"/>
      <c r="DH35" s="295"/>
    </row>
    <row r="36" spans="1:112" ht="36" customHeight="1">
      <c r="A36" s="290"/>
      <c r="B36" s="290"/>
      <c r="C36" s="288"/>
      <c r="D36" s="298"/>
      <c r="E36" s="301"/>
      <c r="F36" s="301"/>
      <c r="G36" s="301"/>
      <c r="H36" s="301"/>
      <c r="I36" s="301"/>
      <c r="J36" s="301"/>
      <c r="K36" s="301"/>
      <c r="L36" s="301"/>
      <c r="M36" s="301"/>
      <c r="N36" s="301"/>
      <c r="O36" s="301"/>
      <c r="P36" s="301"/>
      <c r="Q36" s="301"/>
      <c r="R36" s="301"/>
      <c r="S36" s="301"/>
      <c r="T36" s="301"/>
      <c r="U36" s="301"/>
      <c r="V36" s="301"/>
      <c r="W36" s="301"/>
      <c r="X36" s="481"/>
      <c r="Y36" s="603"/>
      <c r="Z36" s="825"/>
      <c r="AA36" s="826"/>
      <c r="AB36" s="826"/>
      <c r="AC36" s="826"/>
      <c r="AD36" s="826"/>
      <c r="AE36" s="827"/>
      <c r="AF36" s="301"/>
      <c r="AG36" s="298"/>
      <c r="AH36" s="298"/>
      <c r="AI36" s="298"/>
      <c r="AJ36" s="298"/>
      <c r="AK36" s="298"/>
      <c r="AL36" s="828" t="str">
        <f>D16&amp;" (W3,8)"</f>
        <v>Other economic activities (W3,8)</v>
      </c>
      <c r="AM36" s="829"/>
      <c r="AN36" s="829"/>
      <c r="AO36" s="829"/>
      <c r="AP36" s="829"/>
      <c r="AQ36" s="829"/>
      <c r="AR36" s="829"/>
      <c r="AS36" s="829"/>
      <c r="AT36" s="829"/>
      <c r="AU36" s="830"/>
      <c r="AV36" s="480"/>
      <c r="AW36" s="481"/>
      <c r="AX36" s="298"/>
      <c r="AY36" s="482"/>
      <c r="AZ36" s="329" t="s">
        <v>70</v>
      </c>
      <c r="BA36" s="328" t="s">
        <v>14</v>
      </c>
      <c r="BB36" s="100"/>
      <c r="BC36" s="100"/>
      <c r="BD36" s="100"/>
      <c r="BE36" s="118"/>
      <c r="BF36" s="118"/>
      <c r="BG36" s="118"/>
      <c r="BH36" s="118"/>
      <c r="BI36" s="118"/>
      <c r="BJ36" s="118"/>
      <c r="BK36" s="118"/>
      <c r="BL36" s="118"/>
      <c r="BM36" s="118"/>
      <c r="BN36" s="118"/>
      <c r="BO36" s="118"/>
      <c r="BP36" s="118"/>
      <c r="BQ36" s="118"/>
      <c r="BR36" s="118"/>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295"/>
      <c r="CU36" s="295"/>
      <c r="CV36" s="295"/>
      <c r="CW36" s="295"/>
      <c r="CX36" s="295"/>
      <c r="CY36" s="295"/>
      <c r="CZ36" s="295"/>
      <c r="DA36" s="295"/>
      <c r="DB36" s="295"/>
      <c r="DC36" s="295"/>
      <c r="DD36" s="295"/>
      <c r="DE36" s="295"/>
      <c r="DF36" s="295"/>
      <c r="DG36" s="295"/>
      <c r="DH36" s="295"/>
    </row>
    <row r="37" spans="1:97" s="211" customFormat="1" ht="18" customHeight="1">
      <c r="A37" s="189"/>
      <c r="B37" s="190"/>
      <c r="C37" s="41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1"/>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row>
    <row r="38" spans="1:97" s="445" customFormat="1" ht="15">
      <c r="A38" s="444"/>
      <c r="B38" s="431">
        <v>1</v>
      </c>
      <c r="C38" s="313" t="s">
        <v>359</v>
      </c>
      <c r="D38" s="411"/>
      <c r="E38" s="313"/>
      <c r="F38" s="222"/>
      <c r="G38" s="222"/>
      <c r="H38" s="316"/>
      <c r="I38" s="317"/>
      <c r="J38" s="318"/>
      <c r="K38" s="317"/>
      <c r="L38" s="318"/>
      <c r="M38" s="317"/>
      <c r="N38" s="318"/>
      <c r="O38" s="317"/>
      <c r="P38" s="318"/>
      <c r="Q38" s="317"/>
      <c r="R38" s="318"/>
      <c r="S38" s="317"/>
      <c r="T38" s="318"/>
      <c r="U38" s="317"/>
      <c r="V38" s="318"/>
      <c r="W38" s="317"/>
      <c r="X38" s="316"/>
      <c r="Y38" s="317"/>
      <c r="Z38" s="316"/>
      <c r="AA38" s="317"/>
      <c r="AB38" s="316"/>
      <c r="AC38" s="317"/>
      <c r="AD38" s="316"/>
      <c r="AE38" s="317"/>
      <c r="AF38" s="316"/>
      <c r="AG38" s="412"/>
      <c r="AH38" s="316"/>
      <c r="AI38" s="317"/>
      <c r="AJ38" s="318"/>
      <c r="AK38" s="317"/>
      <c r="AL38" s="316"/>
      <c r="AM38" s="317"/>
      <c r="AN38" s="316"/>
      <c r="AO38" s="317"/>
      <c r="AP38" s="317"/>
      <c r="AQ38" s="317"/>
      <c r="AR38" s="317"/>
      <c r="AS38" s="317"/>
      <c r="AT38" s="368"/>
      <c r="AU38" s="367"/>
      <c r="AV38" s="368"/>
      <c r="AW38" s="367"/>
      <c r="AX38" s="451"/>
      <c r="AY38" s="224"/>
      <c r="AZ38" s="492"/>
      <c r="BA38" s="492"/>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row>
    <row r="39" spans="3:52" ht="2.25" customHeight="1">
      <c r="C39" s="413"/>
      <c r="D39" s="413"/>
      <c r="E39" s="414"/>
      <c r="F39" s="354"/>
      <c r="G39" s="354"/>
      <c r="H39" s="350"/>
      <c r="I39" s="351"/>
      <c r="J39" s="352"/>
      <c r="K39" s="351"/>
      <c r="L39" s="352"/>
      <c r="M39" s="351"/>
      <c r="N39" s="352"/>
      <c r="O39" s="351"/>
      <c r="P39" s="352"/>
      <c r="Q39" s="351"/>
      <c r="R39" s="352"/>
      <c r="S39" s="351"/>
      <c r="T39" s="352"/>
      <c r="U39" s="351"/>
      <c r="V39" s="352"/>
      <c r="W39" s="351"/>
      <c r="X39" s="350"/>
      <c r="Y39" s="351"/>
      <c r="Z39" s="350"/>
      <c r="AA39" s="351"/>
      <c r="AB39" s="350"/>
      <c r="AC39" s="351"/>
      <c r="AD39" s="350"/>
      <c r="AE39" s="351"/>
      <c r="AF39" s="350"/>
      <c r="AG39" s="415"/>
      <c r="AH39" s="350"/>
      <c r="AI39" s="351"/>
      <c r="AJ39" s="352"/>
      <c r="AK39" s="351"/>
      <c r="AL39" s="350"/>
      <c r="AM39" s="353"/>
      <c r="AN39" s="348"/>
      <c r="AO39" s="353"/>
      <c r="AP39" s="353"/>
      <c r="AQ39" s="353"/>
      <c r="AR39" s="353"/>
      <c r="AS39" s="353"/>
      <c r="AZ39" s="493"/>
    </row>
    <row r="40" spans="3:52" ht="18" customHeight="1">
      <c r="C40" s="324" t="s">
        <v>354</v>
      </c>
      <c r="D40" s="494" t="s">
        <v>357</v>
      </c>
      <c r="E40" s="416"/>
      <c r="F40" s="417"/>
      <c r="G40" s="417"/>
      <c r="H40" s="418"/>
      <c r="I40" s="419"/>
      <c r="J40" s="420"/>
      <c r="K40" s="419"/>
      <c r="L40" s="420"/>
      <c r="M40" s="419"/>
      <c r="N40" s="420"/>
      <c r="O40" s="419"/>
      <c r="P40" s="420"/>
      <c r="Q40" s="419"/>
      <c r="R40" s="420"/>
      <c r="S40" s="419"/>
      <c r="T40" s="420"/>
      <c r="U40" s="419"/>
      <c r="V40" s="420"/>
      <c r="W40" s="419"/>
      <c r="X40" s="418"/>
      <c r="Y40" s="419"/>
      <c r="Z40" s="418"/>
      <c r="AA40" s="419"/>
      <c r="AB40" s="418"/>
      <c r="AC40" s="419"/>
      <c r="AD40" s="418"/>
      <c r="AE40" s="419"/>
      <c r="AF40" s="418"/>
      <c r="AG40" s="421"/>
      <c r="AH40" s="418"/>
      <c r="AI40" s="419"/>
      <c r="AJ40" s="420"/>
      <c r="AK40" s="419"/>
      <c r="AL40" s="418"/>
      <c r="AM40" s="419"/>
      <c r="AN40" s="418"/>
      <c r="AO40" s="419"/>
      <c r="AP40" s="419"/>
      <c r="AQ40" s="419"/>
      <c r="AR40" s="419"/>
      <c r="AS40" s="419"/>
      <c r="AT40" s="418"/>
      <c r="AU40" s="419"/>
      <c r="AV40" s="418"/>
      <c r="AW40" s="419"/>
      <c r="AX40" s="495"/>
      <c r="AY40" s="446"/>
      <c r="AZ40" s="493"/>
    </row>
    <row r="41" spans="3:52" ht="33.75" customHeight="1">
      <c r="C41" s="569"/>
      <c r="D41" s="741" t="s">
        <v>601</v>
      </c>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3"/>
      <c r="AY41" s="496"/>
      <c r="AZ41" s="493"/>
    </row>
    <row r="42" spans="3:52" ht="18" customHeight="1">
      <c r="C42" s="569"/>
      <c r="D42" s="759"/>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1"/>
      <c r="AY42" s="496"/>
      <c r="AZ42" s="493"/>
    </row>
    <row r="43" spans="3:52" ht="18" customHeight="1">
      <c r="C43" s="569"/>
      <c r="D43" s="759"/>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760"/>
      <c r="AG43" s="760"/>
      <c r="AH43" s="760"/>
      <c r="AI43" s="760"/>
      <c r="AJ43" s="760"/>
      <c r="AK43" s="760"/>
      <c r="AL43" s="760"/>
      <c r="AM43" s="760"/>
      <c r="AN43" s="760"/>
      <c r="AO43" s="760"/>
      <c r="AP43" s="760"/>
      <c r="AQ43" s="760"/>
      <c r="AR43" s="760"/>
      <c r="AS43" s="760"/>
      <c r="AT43" s="760"/>
      <c r="AU43" s="760"/>
      <c r="AV43" s="760"/>
      <c r="AW43" s="760"/>
      <c r="AX43" s="761"/>
      <c r="AY43" s="496"/>
      <c r="AZ43" s="493"/>
    </row>
    <row r="44" spans="3:52" ht="18" customHeight="1">
      <c r="C44" s="569"/>
      <c r="D44" s="759"/>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0"/>
      <c r="AM44" s="760"/>
      <c r="AN44" s="760"/>
      <c r="AO44" s="760"/>
      <c r="AP44" s="760"/>
      <c r="AQ44" s="760"/>
      <c r="AR44" s="760"/>
      <c r="AS44" s="760"/>
      <c r="AT44" s="760"/>
      <c r="AU44" s="760"/>
      <c r="AV44" s="760"/>
      <c r="AW44" s="760"/>
      <c r="AX44" s="761"/>
      <c r="AY44" s="496"/>
      <c r="AZ44" s="493"/>
    </row>
    <row r="45" spans="3:52" ht="18" customHeight="1">
      <c r="C45" s="569"/>
      <c r="D45" s="759"/>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1"/>
      <c r="AY45" s="496"/>
      <c r="AZ45" s="493"/>
    </row>
    <row r="46" spans="3:52" ht="18" customHeight="1">
      <c r="C46" s="569"/>
      <c r="D46" s="759"/>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1"/>
      <c r="AY46" s="496"/>
      <c r="AZ46" s="493"/>
    </row>
    <row r="47" spans="3:52" ht="18" customHeight="1">
      <c r="C47" s="569"/>
      <c r="D47" s="759"/>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1"/>
      <c r="AY47" s="496"/>
      <c r="AZ47" s="493"/>
    </row>
    <row r="48" spans="3:52" ht="18" customHeight="1">
      <c r="C48" s="569"/>
      <c r="D48" s="759"/>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1"/>
      <c r="AY48" s="496"/>
      <c r="AZ48" s="493"/>
    </row>
    <row r="49" spans="3:97" ht="18" customHeight="1">
      <c r="C49" s="569"/>
      <c r="D49" s="759"/>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1"/>
      <c r="AY49" s="49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row>
    <row r="50" spans="3:97" ht="18" customHeight="1">
      <c r="C50" s="569"/>
      <c r="D50" s="759"/>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1"/>
      <c r="AY50" s="49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row>
    <row r="51" spans="3:97" ht="18" customHeight="1">
      <c r="C51" s="569"/>
      <c r="D51" s="759"/>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c r="AY51" s="49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row>
    <row r="52" spans="3:51" ht="18" customHeight="1">
      <c r="C52" s="569"/>
      <c r="D52" s="759"/>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1"/>
      <c r="AY52" s="496"/>
    </row>
    <row r="53" spans="3:51" ht="18" customHeight="1">
      <c r="C53" s="569"/>
      <c r="D53" s="759"/>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1"/>
      <c r="AY53" s="496"/>
    </row>
    <row r="54" spans="3:51" ht="18" customHeight="1">
      <c r="C54" s="569"/>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1"/>
      <c r="AY54" s="496"/>
    </row>
    <row r="55" spans="3:51" ht="18" customHeight="1">
      <c r="C55" s="569"/>
      <c r="D55" s="759"/>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1"/>
      <c r="AY55" s="496"/>
    </row>
    <row r="56" spans="3:51" ht="18" customHeight="1">
      <c r="C56" s="569"/>
      <c r="D56" s="759"/>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1"/>
      <c r="AY56" s="496"/>
    </row>
    <row r="57" spans="3:51" ht="18" customHeight="1">
      <c r="C57" s="569"/>
      <c r="D57" s="759"/>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1"/>
      <c r="AY57" s="496"/>
    </row>
    <row r="58" spans="3:51" ht="18" customHeight="1">
      <c r="C58" s="569"/>
      <c r="D58" s="759"/>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L58" s="760"/>
      <c r="AM58" s="760"/>
      <c r="AN58" s="760"/>
      <c r="AO58" s="760"/>
      <c r="AP58" s="760"/>
      <c r="AQ58" s="760"/>
      <c r="AR58" s="760"/>
      <c r="AS58" s="760"/>
      <c r="AT58" s="760"/>
      <c r="AU58" s="760"/>
      <c r="AV58" s="760"/>
      <c r="AW58" s="760"/>
      <c r="AX58" s="761"/>
      <c r="AY58" s="496"/>
    </row>
    <row r="59" spans="3:51" ht="18" customHeight="1">
      <c r="C59" s="569"/>
      <c r="D59" s="759"/>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0"/>
      <c r="AK59" s="760"/>
      <c r="AL59" s="760"/>
      <c r="AM59" s="760"/>
      <c r="AN59" s="760"/>
      <c r="AO59" s="760"/>
      <c r="AP59" s="760"/>
      <c r="AQ59" s="760"/>
      <c r="AR59" s="760"/>
      <c r="AS59" s="760"/>
      <c r="AT59" s="760"/>
      <c r="AU59" s="760"/>
      <c r="AV59" s="760"/>
      <c r="AW59" s="760"/>
      <c r="AX59" s="761"/>
      <c r="AY59" s="496"/>
    </row>
    <row r="60" spans="3:51" ht="18" customHeight="1">
      <c r="C60" s="569"/>
      <c r="D60" s="759"/>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0"/>
      <c r="AO60" s="760"/>
      <c r="AP60" s="760"/>
      <c r="AQ60" s="760"/>
      <c r="AR60" s="760"/>
      <c r="AS60" s="760"/>
      <c r="AT60" s="760"/>
      <c r="AU60" s="760"/>
      <c r="AV60" s="760"/>
      <c r="AW60" s="760"/>
      <c r="AX60" s="761"/>
      <c r="AY60" s="496"/>
    </row>
    <row r="61" spans="3:51" ht="18" customHeight="1">
      <c r="C61" s="620"/>
      <c r="D61" s="759"/>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1"/>
      <c r="AY61" s="496"/>
    </row>
    <row r="62" spans="3:51" ht="18" customHeight="1">
      <c r="C62" s="618"/>
      <c r="D62" s="771"/>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2"/>
      <c r="AN62" s="772"/>
      <c r="AO62" s="772"/>
      <c r="AP62" s="772"/>
      <c r="AQ62" s="772"/>
      <c r="AR62" s="772"/>
      <c r="AS62" s="772"/>
      <c r="AT62" s="772"/>
      <c r="AU62" s="772"/>
      <c r="AV62" s="772"/>
      <c r="AW62" s="772"/>
      <c r="AX62" s="773"/>
      <c r="AY62" s="496"/>
    </row>
    <row r="63" spans="1:97" s="295" customFormat="1" ht="10.5" customHeight="1">
      <c r="A63" s="497"/>
      <c r="B63" s="435"/>
      <c r="C63" s="445"/>
      <c r="D63" s="445"/>
      <c r="E63" s="202"/>
      <c r="F63" s="331"/>
      <c r="G63" s="331"/>
      <c r="H63" s="230"/>
      <c r="I63" s="231"/>
      <c r="J63" s="232"/>
      <c r="K63" s="231"/>
      <c r="L63" s="232"/>
      <c r="M63" s="231"/>
      <c r="N63" s="232"/>
      <c r="O63" s="231"/>
      <c r="P63" s="232"/>
      <c r="Q63" s="231"/>
      <c r="R63" s="232"/>
      <c r="S63" s="231"/>
      <c r="T63" s="232"/>
      <c r="U63" s="231"/>
      <c r="V63" s="232"/>
      <c r="W63" s="231"/>
      <c r="X63" s="230"/>
      <c r="Y63" s="231"/>
      <c r="Z63" s="230"/>
      <c r="AA63" s="231"/>
      <c r="AB63" s="230"/>
      <c r="AC63" s="231"/>
      <c r="AD63" s="230"/>
      <c r="AE63" s="231"/>
      <c r="AF63" s="230"/>
      <c r="AG63" s="498"/>
      <c r="AH63" s="230"/>
      <c r="AI63" s="231"/>
      <c r="AJ63" s="232"/>
      <c r="AK63" s="231"/>
      <c r="AL63" s="230"/>
      <c r="AM63" s="231"/>
      <c r="AN63" s="230"/>
      <c r="AO63" s="353"/>
      <c r="AP63" s="353"/>
      <c r="AQ63" s="353"/>
      <c r="AR63" s="353"/>
      <c r="AS63" s="353"/>
      <c r="AT63" s="348"/>
      <c r="AU63" s="353"/>
      <c r="AV63" s="348"/>
      <c r="AW63" s="353"/>
      <c r="AY63" s="446"/>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row>
    <row r="64" spans="1:97" s="295" customFormat="1" ht="12.75">
      <c r="A64" s="497"/>
      <c r="B64" s="435"/>
      <c r="C64" s="445"/>
      <c r="D64" s="445"/>
      <c r="E64" s="202"/>
      <c r="F64" s="331"/>
      <c r="G64" s="331"/>
      <c r="H64" s="230"/>
      <c r="I64" s="231"/>
      <c r="J64" s="232"/>
      <c r="K64" s="231"/>
      <c r="L64" s="232"/>
      <c r="M64" s="231"/>
      <c r="N64" s="232"/>
      <c r="O64" s="231"/>
      <c r="P64" s="232"/>
      <c r="Q64" s="231"/>
      <c r="R64" s="232"/>
      <c r="S64" s="231"/>
      <c r="T64" s="232"/>
      <c r="U64" s="231"/>
      <c r="V64" s="232"/>
      <c r="W64" s="231"/>
      <c r="X64" s="230"/>
      <c r="Y64" s="231"/>
      <c r="Z64" s="230"/>
      <c r="AA64" s="231"/>
      <c r="AB64" s="230"/>
      <c r="AC64" s="231"/>
      <c r="AD64" s="230"/>
      <c r="AE64" s="231"/>
      <c r="AF64" s="230"/>
      <c r="AG64" s="231"/>
      <c r="AH64" s="230"/>
      <c r="AI64" s="231"/>
      <c r="AJ64" s="232"/>
      <c r="AK64" s="231"/>
      <c r="AL64" s="230"/>
      <c r="AM64" s="231"/>
      <c r="AN64" s="230"/>
      <c r="AO64" s="353"/>
      <c r="AP64" s="353"/>
      <c r="AQ64" s="353"/>
      <c r="AR64" s="353"/>
      <c r="AS64" s="353"/>
      <c r="AT64" s="348"/>
      <c r="AU64" s="353"/>
      <c r="AV64" s="348"/>
      <c r="AW64" s="353"/>
      <c r="AY64" s="446"/>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row>
    <row r="65" spans="1:97" s="295" customFormat="1" ht="12.75">
      <c r="A65" s="497"/>
      <c r="B65" s="435"/>
      <c r="C65" s="445"/>
      <c r="D65" s="445"/>
      <c r="E65" s="202"/>
      <c r="F65" s="202"/>
      <c r="G65" s="202"/>
      <c r="H65" s="230"/>
      <c r="I65" s="231"/>
      <c r="J65" s="232"/>
      <c r="K65" s="231"/>
      <c r="L65" s="232"/>
      <c r="M65" s="231"/>
      <c r="N65" s="232"/>
      <c r="O65" s="231"/>
      <c r="P65" s="232"/>
      <c r="Q65" s="231"/>
      <c r="R65" s="232"/>
      <c r="S65" s="231"/>
      <c r="T65" s="232"/>
      <c r="U65" s="231"/>
      <c r="V65" s="232"/>
      <c r="W65" s="231"/>
      <c r="X65" s="230"/>
      <c r="Y65" s="231"/>
      <c r="Z65" s="230"/>
      <c r="AA65" s="231"/>
      <c r="AB65" s="230"/>
      <c r="AC65" s="231"/>
      <c r="AD65" s="230"/>
      <c r="AE65" s="231"/>
      <c r="AF65" s="230"/>
      <c r="AG65" s="231"/>
      <c r="AH65" s="230"/>
      <c r="AI65" s="231"/>
      <c r="AJ65" s="232"/>
      <c r="AK65" s="231"/>
      <c r="AL65" s="230"/>
      <c r="AM65" s="231"/>
      <c r="AN65" s="230"/>
      <c r="AO65" s="353"/>
      <c r="AP65" s="353"/>
      <c r="AQ65" s="353"/>
      <c r="AR65" s="353"/>
      <c r="AS65" s="353"/>
      <c r="AT65" s="348"/>
      <c r="AU65" s="353"/>
      <c r="AV65" s="348"/>
      <c r="AW65" s="353"/>
      <c r="AY65" s="446"/>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row>
    <row r="66" spans="3:4" ht="12.75">
      <c r="C66" s="445"/>
      <c r="D66" s="445"/>
    </row>
    <row r="67" spans="3:40" ht="12.75">
      <c r="C67" s="428"/>
      <c r="D67" s="428"/>
      <c r="E67" s="428"/>
      <c r="F67" s="428"/>
      <c r="G67" s="428"/>
      <c r="H67" s="348"/>
      <c r="I67" s="353"/>
      <c r="J67" s="433"/>
      <c r="K67" s="353"/>
      <c r="L67" s="433"/>
      <c r="M67" s="353"/>
      <c r="N67" s="433"/>
      <c r="O67" s="353"/>
      <c r="P67" s="433"/>
      <c r="Q67" s="353"/>
      <c r="R67" s="433"/>
      <c r="S67" s="353"/>
      <c r="T67" s="433"/>
      <c r="U67" s="353"/>
      <c r="V67" s="433"/>
      <c r="W67" s="353"/>
      <c r="X67" s="348"/>
      <c r="Y67" s="353"/>
      <c r="Z67" s="348"/>
      <c r="AA67" s="353"/>
      <c r="AB67" s="348"/>
      <c r="AC67" s="353"/>
      <c r="AD67" s="348"/>
      <c r="AE67" s="353"/>
      <c r="AF67" s="348"/>
      <c r="AG67" s="353"/>
      <c r="AH67" s="348"/>
      <c r="AI67" s="353"/>
      <c r="AJ67" s="433"/>
      <c r="AK67" s="353"/>
      <c r="AL67" s="348"/>
      <c r="AM67" s="353"/>
      <c r="AN67" s="348"/>
    </row>
  </sheetData>
  <sheetProtection sheet="1" formatCells="0" formatColumns="0" formatRows="0" insertColumns="0" insertRows="0" insertHyperlinks="0"/>
  <mergeCells count="39">
    <mergeCell ref="AL28:AU28"/>
    <mergeCell ref="AL30:AU30"/>
    <mergeCell ref="AL32:AU32"/>
    <mergeCell ref="D45:AX45"/>
    <mergeCell ref="D42:AX42"/>
    <mergeCell ref="AL34:AU34"/>
    <mergeCell ref="AL36:AU36"/>
    <mergeCell ref="AD30:AF32"/>
    <mergeCell ref="E30:Z32"/>
    <mergeCell ref="D43:AX43"/>
    <mergeCell ref="D44:AX44"/>
    <mergeCell ref="D41:AX41"/>
    <mergeCell ref="D46:AX46"/>
    <mergeCell ref="D47:AX47"/>
    <mergeCell ref="AH30:AI30"/>
    <mergeCell ref="Z35:AE36"/>
    <mergeCell ref="D50:AX50"/>
    <mergeCell ref="D51:AX51"/>
    <mergeCell ref="D52:AX52"/>
    <mergeCell ref="D53:AX53"/>
    <mergeCell ref="D54:AX54"/>
    <mergeCell ref="D55:AX55"/>
    <mergeCell ref="D62:AX62"/>
    <mergeCell ref="D58:AX58"/>
    <mergeCell ref="D59:AX59"/>
    <mergeCell ref="D60:AX60"/>
    <mergeCell ref="D61:AX61"/>
    <mergeCell ref="D27:AX27"/>
    <mergeCell ref="D48:AX48"/>
    <mergeCell ref="D49:AX49"/>
    <mergeCell ref="D56:AX56"/>
    <mergeCell ref="D57:AX57"/>
    <mergeCell ref="BM3:BO3"/>
    <mergeCell ref="D24:AX24"/>
    <mergeCell ref="D26:AX26"/>
    <mergeCell ref="C5:AN5"/>
    <mergeCell ref="D25:AU25"/>
    <mergeCell ref="D23:AX23"/>
    <mergeCell ref="BG3:BI3"/>
  </mergeCells>
  <conditionalFormatting sqref="BU31:BX31">
    <cfRule type="cellIs" priority="178" dxfId="330" operator="greaterThan" stopIfTrue="1">
      <formula>BU29</formula>
    </cfRule>
  </conditionalFormatting>
  <conditionalFormatting sqref="BU29:CS29">
    <cfRule type="cellIs" priority="185" dxfId="330" operator="greaterThan" stopIfTrue="1">
      <formula>BU24</formula>
    </cfRule>
  </conditionalFormatting>
  <conditionalFormatting sqref="F10">
    <cfRule type="cellIs" priority="46" dxfId="330" operator="lessThan" stopIfTrue="1">
      <formula>F8-F9-(0.01*(F8-F9))</formula>
    </cfRule>
    <cfRule type="cellIs" priority="47" dxfId="330" operator="lessThan" stopIfTrue="1">
      <formula>F12+F13+F14+F15+F16-(0.01*(F12+F13+F14+F15+F16))</formula>
    </cfRule>
  </conditionalFormatting>
  <conditionalFormatting sqref="H10">
    <cfRule type="cellIs" priority="44" dxfId="330" operator="lessThan" stopIfTrue="1">
      <formula>H8-H9-(0.01*(H8-H9))</formula>
    </cfRule>
    <cfRule type="cellIs" priority="45" dxfId="330" operator="lessThan" stopIfTrue="1">
      <formula>H12+H13+H14+H15+H16-(0.01*(H12+H13+H14+H15+H16))</formula>
    </cfRule>
  </conditionalFormatting>
  <conditionalFormatting sqref="J10">
    <cfRule type="cellIs" priority="42" dxfId="330" operator="lessThan" stopIfTrue="1">
      <formula>J8-J9-(0.01*(J8-J9))</formula>
    </cfRule>
    <cfRule type="cellIs" priority="43" dxfId="330" operator="lessThan" stopIfTrue="1">
      <formula>J12+J13+J14+J15+J16-(0.01*(J12+J13+J14+J15+J16))</formula>
    </cfRule>
  </conditionalFormatting>
  <conditionalFormatting sqref="L10">
    <cfRule type="cellIs" priority="40" dxfId="330" operator="lessThan" stopIfTrue="1">
      <formula>L8-L9-(0.01*(L8-L9))</formula>
    </cfRule>
    <cfRule type="cellIs" priority="41" dxfId="330" operator="lessThan" stopIfTrue="1">
      <formula>L12+L13+L14+L15+L16-(0.01*(L12+L13+L14+L15+L16))</formula>
    </cfRule>
  </conditionalFormatting>
  <conditionalFormatting sqref="N10">
    <cfRule type="cellIs" priority="38" dxfId="330" operator="lessThan" stopIfTrue="1">
      <formula>N8-N9-(0.01*(N8-N9))</formula>
    </cfRule>
    <cfRule type="cellIs" priority="39" dxfId="330" operator="lessThan" stopIfTrue="1">
      <formula>N12+N13+N14+N15+N16-(0.01*(N12+N13+N14+N15+N16))</formula>
    </cfRule>
  </conditionalFormatting>
  <conditionalFormatting sqref="P10">
    <cfRule type="cellIs" priority="36" dxfId="330" operator="lessThan" stopIfTrue="1">
      <formula>P8-P9-(0.01*(P8-P9))</formula>
    </cfRule>
    <cfRule type="cellIs" priority="37" dxfId="330" operator="lessThan" stopIfTrue="1">
      <formula>P12+P13+P14+P15+P16-(0.01*(P12+P13+P14+P15+P16))</formula>
    </cfRule>
  </conditionalFormatting>
  <conditionalFormatting sqref="R10">
    <cfRule type="cellIs" priority="34" dxfId="330" operator="lessThan" stopIfTrue="1">
      <formula>R8-R9-(0.01*(R8-R9))</formula>
    </cfRule>
    <cfRule type="cellIs" priority="35" dxfId="330" operator="lessThan" stopIfTrue="1">
      <formula>R12+R13+R14+R15+R16-(0.01*(R12+R13+R14+R15+R16))</formula>
    </cfRule>
  </conditionalFormatting>
  <conditionalFormatting sqref="T10">
    <cfRule type="cellIs" priority="32" dxfId="330" operator="lessThan" stopIfTrue="1">
      <formula>T8-T9-(0.01*(T8-T9))</formula>
    </cfRule>
    <cfRule type="cellIs" priority="33" dxfId="330" operator="lessThan" stopIfTrue="1">
      <formula>T12+T13+T14+T15+T16-(0.01*(T12+T13+T14+T15+T16))</formula>
    </cfRule>
  </conditionalFormatting>
  <conditionalFormatting sqref="V10">
    <cfRule type="cellIs" priority="30" dxfId="330" operator="lessThan" stopIfTrue="1">
      <formula>V8-V9-(0.01*(V8-V9))</formula>
    </cfRule>
    <cfRule type="cellIs" priority="31" dxfId="330" operator="lessThan" stopIfTrue="1">
      <formula>V12+V13+V14+V15+V16-(0.01*(V12+V13+V14+V15+V16))</formula>
    </cfRule>
  </conditionalFormatting>
  <conditionalFormatting sqref="X10">
    <cfRule type="cellIs" priority="28" dxfId="330" operator="lessThan" stopIfTrue="1">
      <formula>X8-X9-(0.01*(X8-X9))</formula>
    </cfRule>
    <cfRule type="cellIs" priority="29" dxfId="330" operator="lessThan" stopIfTrue="1">
      <formula>X12+X13+X14+X15+X16-(0.01*(X12+X13+X14+X15+X16))</formula>
    </cfRule>
  </conditionalFormatting>
  <conditionalFormatting sqref="Z10">
    <cfRule type="cellIs" priority="26" dxfId="330" operator="lessThan" stopIfTrue="1">
      <formula>Z8-Z9-(0.01*(Z8-Z9))</formula>
    </cfRule>
    <cfRule type="cellIs" priority="27" dxfId="330" operator="lessThan" stopIfTrue="1">
      <formula>Z12+Z13+Z14+Z15+Z16-(0.01*(Z12+Z13+Z14+Z15+Z16))</formula>
    </cfRule>
  </conditionalFormatting>
  <conditionalFormatting sqref="AB10">
    <cfRule type="cellIs" priority="24" dxfId="330" operator="lessThan" stopIfTrue="1">
      <formula>AB8-AB9-(0.01*(AB8-AB9))</formula>
    </cfRule>
    <cfRule type="cellIs" priority="25" dxfId="330" operator="lessThan" stopIfTrue="1">
      <formula>AB12+AB13+AB14+AB15+AB16-(0.01*(AB12+AB13+AB14+AB15+AB16))</formula>
    </cfRule>
  </conditionalFormatting>
  <conditionalFormatting sqref="AD10">
    <cfRule type="cellIs" priority="22" dxfId="330" operator="lessThan" stopIfTrue="1">
      <formula>AD8-AD9-(0.01*(AD8-AD9))</formula>
    </cfRule>
    <cfRule type="cellIs" priority="23" dxfId="330" operator="lessThan" stopIfTrue="1">
      <formula>AD12+AD13+AD14+AD15+AD16-(0.01*(AD12+AD13+AD14+AD15+AD16))</formula>
    </cfRule>
  </conditionalFormatting>
  <conditionalFormatting sqref="AF10">
    <cfRule type="cellIs" priority="20" dxfId="330" operator="lessThan" stopIfTrue="1">
      <formula>AF8-AF9-(0.01*(AF8-AF9))</formula>
    </cfRule>
    <cfRule type="cellIs" priority="21" dxfId="330" operator="lessThan" stopIfTrue="1">
      <formula>AF12+AF13+AF14+AF15+AF16-(0.01*(AF12+AF13+AF14+AF15+AF16))</formula>
    </cfRule>
  </conditionalFormatting>
  <conditionalFormatting sqref="AH10">
    <cfRule type="cellIs" priority="18" dxfId="330" operator="lessThan" stopIfTrue="1">
      <formula>AH8-AH9-(0.01*(AH8-AH9))</formula>
    </cfRule>
    <cfRule type="cellIs" priority="19" dxfId="330" operator="lessThan" stopIfTrue="1">
      <formula>AH12+AH13+AH14+AH15+AH16-(0.01*(AH12+AH13+AH14+AH15+AH16))</formula>
    </cfRule>
  </conditionalFormatting>
  <conditionalFormatting sqref="AJ10">
    <cfRule type="cellIs" priority="16" dxfId="330" operator="lessThan" stopIfTrue="1">
      <formula>AJ8-AJ9-(0.01*(AJ8-AJ9))</formula>
    </cfRule>
    <cfRule type="cellIs" priority="17" dxfId="330" operator="lessThan" stopIfTrue="1">
      <formula>AJ12+AJ13+AJ14+AJ15+AJ16-(0.01*(AJ12+AJ13+AJ14+AJ15+AJ16))</formula>
    </cfRule>
  </conditionalFormatting>
  <conditionalFormatting sqref="AL10">
    <cfRule type="cellIs" priority="14" dxfId="330" operator="lessThan" stopIfTrue="1">
      <formula>AL8-AL9-(0.01*(AL8-AL9))</formula>
    </cfRule>
    <cfRule type="cellIs" priority="15" dxfId="330" operator="lessThan" stopIfTrue="1">
      <formula>AL12+AL13+AL14+AL15+AL16-(0.01*(AL12+AL13+AL14+AL15+AL16))</formula>
    </cfRule>
  </conditionalFormatting>
  <conditionalFormatting sqref="AN10">
    <cfRule type="cellIs" priority="12" dxfId="330" operator="lessThan" stopIfTrue="1">
      <formula>AN8-AN9-(0.01*(AN8-AN9))</formula>
    </cfRule>
    <cfRule type="cellIs" priority="13" dxfId="330" operator="lessThan" stopIfTrue="1">
      <formula>AN12+AN13+AN14+AN15+AN16-(0.01*(AN12+AN13+AN14+AN15+AN16))</formula>
    </cfRule>
  </conditionalFormatting>
  <conditionalFormatting sqref="AP10">
    <cfRule type="cellIs" priority="10" dxfId="330" operator="lessThan" stopIfTrue="1">
      <formula>AP8-AP9-(0.01*(AP8-AP9))</formula>
    </cfRule>
    <cfRule type="cellIs" priority="11" dxfId="330" operator="lessThan" stopIfTrue="1">
      <formula>AP12+AP13+AP14+AP15+AP16-(0.01*(AP12+AP13+AP14+AP15+AP16))</formula>
    </cfRule>
  </conditionalFormatting>
  <conditionalFormatting sqref="AR10">
    <cfRule type="cellIs" priority="8" dxfId="330" operator="lessThan" stopIfTrue="1">
      <formula>AR8-AR9-(0.01*(AR8-AR9))</formula>
    </cfRule>
    <cfRule type="cellIs" priority="9" dxfId="330" operator="lessThan" stopIfTrue="1">
      <formula>AR12+AR13+AR14+AR15+AR16-(0.01*(AR12+AR13+AR14+AR15+AR16))</formula>
    </cfRule>
  </conditionalFormatting>
  <conditionalFormatting sqref="AT10">
    <cfRule type="cellIs" priority="6" dxfId="330" operator="lessThan" stopIfTrue="1">
      <formula>AT8-AT9-(0.01*(AT8-AT9))</formula>
    </cfRule>
    <cfRule type="cellIs" priority="7" dxfId="330" operator="lessThan" stopIfTrue="1">
      <formula>AT12+AT13+AT14+AT15+AT16-(0.01*(AT12+AT13+AT14+AT15+AT16))</formula>
    </cfRule>
  </conditionalFormatting>
  <conditionalFormatting sqref="AV10">
    <cfRule type="cellIs" priority="4" dxfId="330" operator="lessThan" stopIfTrue="1">
      <formula>AV8-AV9-(0.01*(AV8-AV9))</formula>
    </cfRule>
    <cfRule type="cellIs" priority="5" dxfId="330" operator="lessThan" stopIfTrue="1">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330"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330" operator="equal" stopIfTrue="1">
      <formula>"&gt; 25%"</formula>
    </cfRule>
  </conditionalFormatting>
  <conditionalFormatting sqref="BE8:BE10 BE12:BE16">
    <cfRule type="cellIs" priority="3" dxfId="330" operator="equal" stopIfTrue="1">
      <formula>"&gt; 100%"</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A110"/>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8.66015625" style="189" hidden="1" customWidth="1"/>
    <col min="2" max="2" width="14" style="190" hidden="1" customWidth="1"/>
    <col min="3" max="3" width="11.33203125" style="202" customWidth="1"/>
    <col min="4" max="4" width="37.66015625" style="202" customWidth="1"/>
    <col min="5" max="5" width="13.6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4.5" style="200" customWidth="1"/>
    <col min="52" max="52" width="7.66015625" style="200" customWidth="1"/>
    <col min="53" max="53" width="34.33203125" style="200" customWidth="1"/>
    <col min="54" max="54" width="10.5" style="200" customWidth="1"/>
    <col min="55" max="55" width="6.16015625" style="200" customWidth="1"/>
    <col min="56" max="56" width="1.5" style="200" customWidth="1"/>
    <col min="57" max="57" width="6.16015625" style="200" customWidth="1"/>
    <col min="58" max="58" width="1.66796875" style="200" customWidth="1"/>
    <col min="59" max="59" width="6.16015625" style="200" customWidth="1"/>
    <col min="60" max="60" width="1.66796875" style="200" customWidth="1"/>
    <col min="61" max="61" width="6.16015625" style="200" customWidth="1"/>
    <col min="62" max="62" width="1.66796875" style="200" customWidth="1"/>
    <col min="63" max="63" width="6.16015625" style="200" customWidth="1"/>
    <col min="64" max="64" width="1.66796875" style="200" customWidth="1"/>
    <col min="65" max="65" width="6.16015625" style="200" customWidth="1"/>
    <col min="66" max="66" width="1.66796875" style="200" customWidth="1"/>
    <col min="67" max="67" width="6.16015625" style="200" customWidth="1"/>
    <col min="68" max="68" width="1.66796875" style="200" customWidth="1"/>
    <col min="69" max="69" width="6.16015625" style="200" customWidth="1"/>
    <col min="70" max="70" width="1.66796875" style="200" customWidth="1"/>
    <col min="71" max="71" width="6.16015625" style="200" customWidth="1"/>
    <col min="72" max="72" width="1.66796875" style="200" customWidth="1"/>
    <col min="73" max="73" width="6.16015625" style="200" customWidth="1"/>
    <col min="74" max="74" width="1.66796875" style="200" customWidth="1"/>
    <col min="75" max="75" width="6.16015625" style="200" customWidth="1"/>
    <col min="76" max="76" width="1.66796875" style="200" customWidth="1"/>
    <col min="77" max="77" width="6.16015625" style="200" customWidth="1"/>
    <col min="78" max="78" width="1.66796875" style="200" customWidth="1"/>
    <col min="79" max="79" width="6.16015625" style="200" customWidth="1"/>
    <col min="80" max="80" width="1.66796875" style="200" customWidth="1"/>
    <col min="81" max="81" width="6.16015625" style="200" customWidth="1"/>
    <col min="82" max="82" width="1.66796875" style="200" customWidth="1"/>
    <col min="83" max="83" width="6.16015625" style="200" customWidth="1"/>
    <col min="84" max="84" width="1.66796875" style="200" customWidth="1"/>
    <col min="85" max="85" width="6.16015625" style="200" customWidth="1"/>
    <col min="86" max="86" width="1.66796875" style="200" customWidth="1"/>
    <col min="87" max="87" width="6.16015625" style="200" customWidth="1"/>
    <col min="88" max="88" width="1.66796875" style="200" customWidth="1"/>
    <col min="89" max="89" width="6.16015625" style="200" customWidth="1"/>
    <col min="90" max="90" width="1.66796875" style="200" customWidth="1"/>
    <col min="91" max="91" width="6.16015625" style="200" customWidth="1"/>
    <col min="92" max="92" width="1.66796875" style="200" customWidth="1"/>
    <col min="93" max="93" width="6.16015625" style="200" customWidth="1"/>
    <col min="94" max="94" width="1.66796875" style="200" customWidth="1"/>
    <col min="95" max="95" width="6.16015625" style="200" customWidth="1"/>
    <col min="96" max="96" width="1.66796875" style="200" customWidth="1"/>
    <col min="97" max="97" width="6.16015625" style="200" customWidth="1"/>
    <col min="98" max="16384" width="9.33203125" style="202" customWidth="1"/>
  </cols>
  <sheetData>
    <row r="1" spans="1:97" s="445" customFormat="1" ht="15.7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499"/>
      <c r="AY1" s="492"/>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48" ht="6" customHeight="1">
      <c r="E2" s="344"/>
      <c r="F2" s="344"/>
      <c r="G2" s="344"/>
      <c r="H2" s="348"/>
      <c r="AE2" s="353"/>
      <c r="AF2" s="348"/>
      <c r="AG2" s="353"/>
      <c r="AH2" s="348"/>
      <c r="AI2" s="353"/>
      <c r="AJ2" s="433"/>
      <c r="AK2" s="353"/>
      <c r="AL2" s="348"/>
      <c r="AM2" s="353"/>
      <c r="AN2" s="348"/>
      <c r="AO2" s="353"/>
      <c r="AP2" s="353"/>
      <c r="AQ2" s="353"/>
      <c r="AR2" s="353"/>
      <c r="AS2" s="353"/>
      <c r="AT2" s="348"/>
      <c r="AV2" s="348"/>
    </row>
    <row r="3" spans="1:97" s="365" customFormat="1" ht="17.25" customHeight="1">
      <c r="A3" s="290"/>
      <c r="B3" s="290">
        <v>508</v>
      </c>
      <c r="C3" s="349" t="s">
        <v>358</v>
      </c>
      <c r="D3" s="32" t="s">
        <v>483</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447"/>
      <c r="BB3" s="363"/>
      <c r="BC3" s="448"/>
      <c r="BD3" s="448"/>
      <c r="BE3" s="500"/>
      <c r="BF3" s="500"/>
      <c r="BG3" s="500"/>
      <c r="BH3" s="500"/>
      <c r="BI3" s="449"/>
      <c r="BJ3" s="449"/>
      <c r="BK3" s="449"/>
      <c r="BL3" s="449"/>
      <c r="BM3" s="500"/>
      <c r="BN3" s="500"/>
      <c r="BO3" s="449"/>
      <c r="BP3" s="449"/>
      <c r="BQ3" s="449"/>
      <c r="BR3" s="449"/>
      <c r="BS3" s="449"/>
      <c r="BT3" s="449"/>
      <c r="BU3" s="450"/>
      <c r="BV3" s="450"/>
      <c r="BW3" s="363"/>
      <c r="BX3" s="363"/>
      <c r="BY3" s="363"/>
      <c r="BZ3" s="363"/>
      <c r="CA3" s="363"/>
      <c r="CB3" s="363"/>
      <c r="CC3" s="450"/>
      <c r="CD3" s="450"/>
      <c r="CE3" s="363"/>
      <c r="CF3" s="363"/>
      <c r="CG3" s="363"/>
      <c r="CH3" s="363"/>
      <c r="CI3" s="363"/>
      <c r="CJ3" s="363"/>
      <c r="CK3" s="363"/>
      <c r="CL3" s="363"/>
      <c r="CM3" s="363"/>
      <c r="CN3" s="363"/>
      <c r="CO3" s="363"/>
      <c r="CP3" s="363"/>
      <c r="CQ3" s="447"/>
      <c r="CR3" s="447"/>
      <c r="CS3" s="447"/>
    </row>
    <row r="4" spans="3:52" ht="6" customHeight="1">
      <c r="C4" s="501"/>
      <c r="D4" s="501"/>
      <c r="E4" s="405"/>
      <c r="F4" s="405"/>
      <c r="G4" s="405"/>
      <c r="H4" s="353"/>
      <c r="I4" s="353"/>
      <c r="J4" s="433"/>
      <c r="K4" s="353"/>
      <c r="L4" s="433"/>
      <c r="M4" s="353"/>
      <c r="N4" s="433"/>
      <c r="O4" s="353"/>
      <c r="P4" s="433"/>
      <c r="Q4" s="353"/>
      <c r="R4" s="433"/>
      <c r="S4" s="353"/>
      <c r="T4" s="433"/>
      <c r="U4" s="353"/>
      <c r="V4" s="433"/>
      <c r="W4" s="353"/>
      <c r="X4" s="348"/>
      <c r="Y4" s="353"/>
      <c r="Z4" s="348"/>
      <c r="AA4" s="353"/>
      <c r="AB4" s="348"/>
      <c r="AC4" s="353"/>
      <c r="AE4" s="353"/>
      <c r="AF4" s="348"/>
      <c r="AG4" s="353"/>
      <c r="AH4" s="348"/>
      <c r="AI4" s="353"/>
      <c r="AJ4" s="433"/>
      <c r="AK4" s="353"/>
      <c r="AL4" s="348"/>
      <c r="AM4" s="353"/>
      <c r="AN4" s="502"/>
      <c r="AO4" s="353"/>
      <c r="AP4" s="353"/>
      <c r="AQ4" s="353"/>
      <c r="AR4" s="353"/>
      <c r="AS4" s="353"/>
      <c r="AT4" s="348"/>
      <c r="AV4" s="348"/>
      <c r="AZ4" s="330"/>
    </row>
    <row r="5" spans="1:97" s="445" customFormat="1" ht="18" customHeight="1">
      <c r="A5" s="444"/>
      <c r="B5" s="190">
        <v>7</v>
      </c>
      <c r="C5" s="797" t="s">
        <v>245</v>
      </c>
      <c r="D5" s="797"/>
      <c r="E5" s="820"/>
      <c r="F5" s="820"/>
      <c r="G5" s="820"/>
      <c r="H5" s="820"/>
      <c r="I5" s="799"/>
      <c r="J5" s="799"/>
      <c r="K5" s="799"/>
      <c r="L5" s="799"/>
      <c r="M5" s="799"/>
      <c r="N5" s="799"/>
      <c r="O5" s="799"/>
      <c r="P5" s="799"/>
      <c r="Q5" s="799"/>
      <c r="R5" s="799"/>
      <c r="S5" s="799"/>
      <c r="T5" s="799"/>
      <c r="U5" s="799"/>
      <c r="V5" s="799"/>
      <c r="W5" s="799"/>
      <c r="X5" s="820"/>
      <c r="Y5" s="799"/>
      <c r="Z5" s="820"/>
      <c r="AA5" s="799"/>
      <c r="AB5" s="820"/>
      <c r="AC5" s="799"/>
      <c r="AD5" s="820"/>
      <c r="AE5" s="799"/>
      <c r="AF5" s="820"/>
      <c r="AG5" s="799"/>
      <c r="AH5" s="820"/>
      <c r="AI5" s="799"/>
      <c r="AJ5" s="799"/>
      <c r="AK5" s="799"/>
      <c r="AL5" s="820"/>
      <c r="AM5" s="799"/>
      <c r="AN5" s="820"/>
      <c r="AO5" s="367"/>
      <c r="AP5" s="367"/>
      <c r="AQ5" s="367"/>
      <c r="AR5" s="367"/>
      <c r="AS5" s="367"/>
      <c r="AT5" s="368"/>
      <c r="AU5" s="367"/>
      <c r="AV5" s="368"/>
      <c r="AW5" s="367"/>
      <c r="AX5" s="451"/>
      <c r="AY5" s="492"/>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503"/>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2:97"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Z7" s="243" t="s">
        <v>347</v>
      </c>
      <c r="BA7" s="243" t="s">
        <v>349</v>
      </c>
      <c r="BB7" s="243" t="s">
        <v>352</v>
      </c>
      <c r="BC7" s="242">
        <v>1990</v>
      </c>
      <c r="BD7" s="242"/>
      <c r="BE7" s="243">
        <v>1995</v>
      </c>
      <c r="BF7" s="504"/>
      <c r="BG7" s="504">
        <v>1996</v>
      </c>
      <c r="BH7" s="504"/>
      <c r="BI7" s="243">
        <v>1997</v>
      </c>
      <c r="BJ7" s="243"/>
      <c r="BK7" s="243">
        <v>1998</v>
      </c>
      <c r="BL7" s="504"/>
      <c r="BM7" s="504">
        <v>1999</v>
      </c>
      <c r="BN7" s="504"/>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2:97" ht="18.75" customHeight="1">
      <c r="B8" s="247">
        <v>84</v>
      </c>
      <c r="C8" s="384">
        <v>1</v>
      </c>
      <c r="D8" s="505" t="s">
        <v>103</v>
      </c>
      <c r="E8" s="265" t="s">
        <v>361</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24"/>
      <c r="AV8" s="642"/>
      <c r="AW8" s="624"/>
      <c r="AZ8" s="388">
        <v>1</v>
      </c>
      <c r="BA8" s="506" t="s">
        <v>103</v>
      </c>
      <c r="BB8" s="84" t="s">
        <v>361</v>
      </c>
      <c r="BC8" s="507" t="s">
        <v>97</v>
      </c>
      <c r="BD8" s="121"/>
      <c r="BE8" s="101" t="str">
        <f>IF(OR(ISBLANK(F8),ISBLANK(H8)),"N/A",IF(ABS((H8-F8)/F8)&gt;1,"&gt; 100%","ok"))</f>
        <v>N/A</v>
      </c>
      <c r="BF8" s="101"/>
      <c r="BG8" s="101" t="str">
        <f aca="true" t="shared" si="0" ref="BG8:BG24">IF(OR(ISBLANK(H8),ISBLANK(J8)),"N/A",IF(ABS((J8-H8)/H8)&gt;0.25,"&gt; 25%","ok"))</f>
        <v>N/A</v>
      </c>
      <c r="BH8" s="101"/>
      <c r="BI8" s="101" t="str">
        <f aca="true" t="shared" si="1" ref="BI8:BI24">IF(OR(ISBLANK(J8),ISBLANK(L8)),"N/A",IF(ABS((L8-J8)/J8)&gt;0.25,"&gt; 25%","ok"))</f>
        <v>N/A</v>
      </c>
      <c r="BJ8" s="101"/>
      <c r="BK8" s="101" t="str">
        <f aca="true" t="shared" si="2" ref="BK8:BK24">IF(OR(ISBLANK(L8),ISBLANK(N8)),"N/A",IF(ABS((N8-L8)/L8)&gt;0.25,"&gt; 25%","ok"))</f>
        <v>N/A</v>
      </c>
      <c r="BL8" s="101"/>
      <c r="BM8" s="101" t="str">
        <f aca="true" t="shared" si="3" ref="BM8:BM23">IF(OR(ISBLANK(N8),ISBLANK(P8)),"N/A",IF(ABS((P8-N8)/N8)&gt;0.25,"&gt; 25%","ok"))</f>
        <v>N/A</v>
      </c>
      <c r="BN8" s="101"/>
      <c r="BO8" s="101" t="str">
        <f>IF(OR(ISBLANK(P8),ISBLANK(R8)),"N/A",IF(ABS((R8-P8)/P8)&gt;0.25,"&gt; 25%","ok"))</f>
        <v>N/A</v>
      </c>
      <c r="BP8" s="101"/>
      <c r="BQ8" s="101" t="str">
        <f>IF(OR(ISBLANK(R8),ISBLANK(T8)),"N/A",IF(ABS((T8-R8)/R8)&gt;0.25,"&gt; 25%","ok"))</f>
        <v>N/A</v>
      </c>
      <c r="BR8" s="101"/>
      <c r="BS8" s="101" t="str">
        <f>IF(OR(ISBLANK(T8),ISBLANK(V8)),"N/A",IF(ABS((V8-T8)/T8)&gt;0.25,"&gt; 25%","ok"))</f>
        <v>N/A</v>
      </c>
      <c r="BT8" s="101"/>
      <c r="BU8" s="101" t="str">
        <f>IF(OR(ISBLANK(V8),ISBLANK(X8)),"N/A",IF(ABS((X8-V8)/V8)&gt;0.25,"&gt; 25%","ok"))</f>
        <v>N/A</v>
      </c>
      <c r="BV8" s="101"/>
      <c r="BW8" s="101" t="str">
        <f>IF(OR(ISBLANK(X8),ISBLANK(Z8)),"N/A",IF(ABS((Z8-X8)/X8)&gt;0.25,"&gt; 25%","ok"))</f>
        <v>N/A</v>
      </c>
      <c r="BX8" s="101"/>
      <c r="BY8" s="101" t="str">
        <f>IF(OR(ISBLANK(Z8),ISBLANK(AB8)),"N/A",IF(ABS((AB8-Z8)/Z8)&gt;0.25,"&gt; 25%","ok"))</f>
        <v>N/A</v>
      </c>
      <c r="BZ8" s="101"/>
      <c r="CA8" s="101" t="str">
        <f>IF(OR(ISBLANK(AB8),ISBLANK(AD8)),"N/A",IF(ABS((AD8-AB8)/AB8)&gt;0.25,"&gt; 25%","ok"))</f>
        <v>N/A</v>
      </c>
      <c r="CB8" s="101"/>
      <c r="CC8" s="101" t="str">
        <f>IF(OR(ISBLANK(AD8),ISBLANK(AF8)),"N/A",IF(ABS((AF8-AD8)/AD8)&gt;0.25,"&gt; 25%","ok"))</f>
        <v>N/A</v>
      </c>
      <c r="CD8" s="101"/>
      <c r="CE8" s="101" t="str">
        <f>IF(OR(ISBLANK(AF8),ISBLANK(AH8)),"N/A",IF(ABS((AH8-AF8)/AF8)&gt;0.25,"&gt; 25%","ok"))</f>
        <v>N/A</v>
      </c>
      <c r="CF8" s="101"/>
      <c r="CG8" s="101" t="str">
        <f>IF(OR(ISBLANK(AH8),ISBLANK(AJ8)),"N/A",IF(ABS((AJ8-AH8)/AH8)&gt;0.25,"&gt; 25%","ok"))</f>
        <v>N/A</v>
      </c>
      <c r="CH8" s="101"/>
      <c r="CI8" s="101" t="str">
        <f>IF(OR(ISBLANK(AJ8),ISBLANK(AL8)),"N/A",IF(ABS((AL8-AJ8)/AJ8)&gt;0.25,"&gt; 25%","ok"))</f>
        <v>N/A</v>
      </c>
      <c r="CJ8" s="101"/>
      <c r="CK8" s="101" t="str">
        <f>IF(OR(ISBLANK(AL8),ISBLANK(AN8)),"N/A",IF(ABS((AN8-AL8)/AL8)&gt;0.25,"&gt; 25%","ok"))</f>
        <v>N/A</v>
      </c>
      <c r="CL8" s="101"/>
      <c r="CM8" s="101" t="str">
        <f>IF(OR(ISBLANK(AN8),ISBLANK(AP8)),"N/A",IF(ABS((AP8-AN8)/AN8)&gt;0.25,"&gt; 25%","ok"))</f>
        <v>N/A</v>
      </c>
      <c r="CN8" s="101"/>
      <c r="CO8" s="101" t="str">
        <f>IF(OR(ISBLANK(AP8),ISBLANK(AR8)),"N/A",IF(ABS((AR8-AP8)/AP8)&gt;0.25,"&gt; 25%","ok"))</f>
        <v>N/A</v>
      </c>
      <c r="CP8" s="101"/>
      <c r="CQ8" s="101" t="str">
        <f>IF(OR(ISBLANK(AR8),ISBLANK(AT8)),"N/A",IF(ABS((AT8-AR8)/AR8)&gt;0.25,"&gt; 25%","ok"))</f>
        <v>N/A</v>
      </c>
      <c r="CR8" s="101"/>
      <c r="CS8" s="101" t="str">
        <f>IF(OR(ISBLANK(AT8),ISBLANK(AV8)),"N/A",IF(ABS((AV8-AT8)/AT8)&gt;0.25,"&gt; 25%","ok"))</f>
        <v>N/A</v>
      </c>
    </row>
    <row r="9" spans="2:99" ht="34.5" customHeight="1">
      <c r="B9" s="508">
        <v>85</v>
      </c>
      <c r="C9" s="265">
        <v>2</v>
      </c>
      <c r="D9" s="262" t="s">
        <v>517</v>
      </c>
      <c r="E9" s="265" t="s">
        <v>361</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Z9" s="84">
        <v>2</v>
      </c>
      <c r="BA9" s="465" t="s">
        <v>241</v>
      </c>
      <c r="BB9" s="84" t="s">
        <v>361</v>
      </c>
      <c r="BC9" s="121" t="s">
        <v>97</v>
      </c>
      <c r="BD9" s="120"/>
      <c r="BE9" s="101" t="str">
        <f>IF(OR(ISBLANK(F9),ISBLANK(H9)),"N/A",IF(ABS((H9-F9)/F9)&gt;1,"&gt; 100%","ok"))</f>
        <v>N/A</v>
      </c>
      <c r="BF9" s="119"/>
      <c r="BG9" s="101" t="str">
        <f>IF(OR(ISBLANK(H9),ISBLANK(J9)),"N/A",IF(ABS((J9-H9)/H9)&gt;0.25,"&gt; 25%","ok"))</f>
        <v>N/A</v>
      </c>
      <c r="BH9" s="120"/>
      <c r="BI9" s="101" t="str">
        <f t="shared" si="1"/>
        <v>N/A</v>
      </c>
      <c r="BJ9" s="120"/>
      <c r="BK9" s="101" t="str">
        <f t="shared" si="2"/>
        <v>N/A</v>
      </c>
      <c r="BL9" s="120"/>
      <c r="BM9" s="101" t="str">
        <f t="shared" si="3"/>
        <v>N/A</v>
      </c>
      <c r="BN9" s="120"/>
      <c r="BO9" s="101" t="str">
        <f aca="true" t="shared" si="4" ref="BO9:BO14">IF(OR(ISBLANK(P9),ISBLANK(R9)),"N/A",IF(ABS((R9-P9)/P9)&gt;0.25,"&gt; 25%","ok"))</f>
        <v>N/A</v>
      </c>
      <c r="BP9" s="120"/>
      <c r="BQ9" s="101" t="str">
        <f aca="true" t="shared" si="5" ref="BQ9:BQ14">IF(OR(ISBLANK(R9),ISBLANK(T9)),"N/A",IF(ABS((T9-R9)/R9)&gt;0.25,"&gt; 25%","ok"))</f>
        <v>N/A</v>
      </c>
      <c r="BR9" s="119"/>
      <c r="BS9" s="101" t="str">
        <f aca="true" t="shared" si="6" ref="BS9:BS14">IF(OR(ISBLANK(T9),ISBLANK(V9)),"N/A",IF(ABS((V9-T9)/T9)&gt;0.25,"&gt; 25%","ok"))</f>
        <v>N/A</v>
      </c>
      <c r="BT9" s="84"/>
      <c r="BU9" s="101" t="str">
        <f aca="true" t="shared" si="7" ref="BU9:BU14">IF(OR(ISBLANK(V9),ISBLANK(X9)),"N/A",IF(ABS((X9-V9)/V9)&gt;0.25,"&gt; 25%","ok"))</f>
        <v>N/A</v>
      </c>
      <c r="BV9" s="121"/>
      <c r="BW9" s="101" t="str">
        <f aca="true" t="shared" si="8" ref="BW9:BW14">IF(OR(ISBLANK(X9),ISBLANK(Z9)),"N/A",IF(ABS((Z9-X9)/X9)&gt;0.25,"&gt; 25%","ok"))</f>
        <v>N/A</v>
      </c>
      <c r="BX9" s="119"/>
      <c r="BY9" s="101" t="str">
        <f aca="true" t="shared" si="9" ref="BY9:BY14">IF(OR(ISBLANK(Z9),ISBLANK(AB9)),"N/A",IF(ABS((AB9-Z9)/Z9)&gt;0.25,"&gt; 25%","ok"))</f>
        <v>N/A</v>
      </c>
      <c r="BZ9" s="84"/>
      <c r="CA9" s="101" t="str">
        <f aca="true" t="shared" si="10" ref="CA9:CA14">IF(OR(ISBLANK(AB9),ISBLANK(AD9)),"N/A",IF(ABS((AD9-AB9)/AB9)&gt;0.25,"&gt; 25%","ok"))</f>
        <v>N/A</v>
      </c>
      <c r="CB9" s="120"/>
      <c r="CC9" s="101" t="str">
        <f aca="true" t="shared" si="11" ref="CC9:CC14">IF(OR(ISBLANK(AD9),ISBLANK(AF9)),"N/A",IF(ABS((AF9-AD9)/AD9)&gt;0.25,"&gt; 25%","ok"))</f>
        <v>N/A</v>
      </c>
      <c r="CD9" s="119"/>
      <c r="CE9" s="101" t="str">
        <f aca="true" t="shared" si="12" ref="CE9:CE14">IF(OR(ISBLANK(AF9),ISBLANK(AH9)),"N/A",IF(ABS((AH9-AF9)/AF9)&gt;0.25,"&gt; 25%","ok"))</f>
        <v>N/A</v>
      </c>
      <c r="CF9" s="121"/>
      <c r="CG9" s="101" t="str">
        <f aca="true" t="shared" si="13" ref="CG9:CG14">IF(OR(ISBLANK(AH9),ISBLANK(AJ9)),"N/A",IF(ABS((AJ9-AH9)/AH9)&gt;0.25,"&gt; 25%","ok"))</f>
        <v>N/A</v>
      </c>
      <c r="CH9" s="119"/>
      <c r="CI9" s="101" t="str">
        <f aca="true" t="shared" si="14" ref="CI9:CI14">IF(OR(ISBLANK(AJ9),ISBLANK(AL9)),"N/A",IF(ABS((AL9-AJ9)/AJ9)&gt;0.25,"&gt; 25%","ok"))</f>
        <v>N/A</v>
      </c>
      <c r="CJ9" s="84"/>
      <c r="CK9" s="101" t="str">
        <f aca="true" t="shared" si="15" ref="CK9:CK14">IF(OR(ISBLANK(AL9),ISBLANK(AN9)),"N/A",IF(ABS((AN9-AL9)/AL9)&gt;0.25,"&gt; 25%","ok"))</f>
        <v>N/A</v>
      </c>
      <c r="CL9" s="84"/>
      <c r="CM9" s="101" t="str">
        <f aca="true" t="shared" si="16" ref="CM9:CM14">IF(OR(ISBLANK(AN9),ISBLANK(AP9)),"N/A",IF(ABS((AP9-AN9)/AN9)&gt;0.25,"&gt; 25%","ok"))</f>
        <v>N/A</v>
      </c>
      <c r="CN9" s="84"/>
      <c r="CO9" s="101" t="str">
        <f aca="true" t="shared" si="17" ref="CO9:CO14">IF(OR(ISBLANK(AP9),ISBLANK(AR9)),"N/A",IF(ABS((AR9-AP9)/AP9)&gt;0.25,"&gt; 25%","ok"))</f>
        <v>N/A</v>
      </c>
      <c r="CP9" s="121"/>
      <c r="CQ9" s="101" t="str">
        <f aca="true" t="shared" si="18" ref="CQ9:CQ14">IF(OR(ISBLANK(AR9),ISBLANK(AT9)),"N/A",IF(ABS((AT9-AR9)/AR9)&gt;0.25,"&gt; 25%","ok"))</f>
        <v>N/A</v>
      </c>
      <c r="CR9" s="84"/>
      <c r="CS9" s="101" t="str">
        <f aca="true" t="shared" si="19" ref="CS9:CS24">IF(OR(ISBLANK(AT9),ISBLANK(AV9)),"N/A",IF(ABS((AV9-AT9)/AT9)&gt;0.25,"&gt; 25%","ok"))</f>
        <v>N/A</v>
      </c>
      <c r="CT9" s="295"/>
      <c r="CU9" s="295"/>
    </row>
    <row r="10" spans="2:99" ht="18.75" customHeight="1">
      <c r="B10" s="247">
        <v>155</v>
      </c>
      <c r="C10" s="265">
        <v>3</v>
      </c>
      <c r="D10" s="462" t="s">
        <v>141</v>
      </c>
      <c r="E10" s="265" t="s">
        <v>361</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Z10" s="84">
        <v>3</v>
      </c>
      <c r="BA10" s="465" t="s">
        <v>141</v>
      </c>
      <c r="BB10" s="84" t="s">
        <v>361</v>
      </c>
      <c r="BC10" s="121" t="s">
        <v>97</v>
      </c>
      <c r="BD10" s="120"/>
      <c r="BE10" s="101" t="str">
        <f aca="true" t="shared" si="20" ref="BE10:BE24">IF(OR(ISBLANK(F10),ISBLANK(H10)),"N/A",IF(ABS((H10-F10)/F10)&gt;1,"&gt; 100%","ok"))</f>
        <v>N/A</v>
      </c>
      <c r="BF10" s="119"/>
      <c r="BG10" s="101" t="str">
        <f t="shared" si="0"/>
        <v>N/A</v>
      </c>
      <c r="BH10" s="120"/>
      <c r="BI10" s="101" t="str">
        <f t="shared" si="1"/>
        <v>N/A</v>
      </c>
      <c r="BJ10" s="120"/>
      <c r="BK10" s="101" t="str">
        <f t="shared" si="2"/>
        <v>N/A</v>
      </c>
      <c r="BL10" s="120"/>
      <c r="BM10" s="101" t="str">
        <f t="shared" si="3"/>
        <v>N/A</v>
      </c>
      <c r="BN10" s="120"/>
      <c r="BO10" s="101" t="str">
        <f t="shared" si="4"/>
        <v>N/A</v>
      </c>
      <c r="BP10" s="120"/>
      <c r="BQ10" s="101" t="str">
        <f t="shared" si="5"/>
        <v>N/A</v>
      </c>
      <c r="BR10" s="119"/>
      <c r="BS10" s="101" t="str">
        <f t="shared" si="6"/>
        <v>N/A</v>
      </c>
      <c r="BT10" s="84"/>
      <c r="BU10" s="101" t="str">
        <f t="shared" si="7"/>
        <v>N/A</v>
      </c>
      <c r="BV10" s="121"/>
      <c r="BW10" s="101" t="str">
        <f t="shared" si="8"/>
        <v>N/A</v>
      </c>
      <c r="BX10" s="119"/>
      <c r="BY10" s="101" t="str">
        <f t="shared" si="9"/>
        <v>N/A</v>
      </c>
      <c r="BZ10" s="84"/>
      <c r="CA10" s="101" t="str">
        <f t="shared" si="10"/>
        <v>N/A</v>
      </c>
      <c r="CB10" s="120"/>
      <c r="CC10" s="101" t="str">
        <f t="shared" si="11"/>
        <v>N/A</v>
      </c>
      <c r="CD10" s="119"/>
      <c r="CE10" s="101" t="str">
        <f t="shared" si="12"/>
        <v>N/A</v>
      </c>
      <c r="CF10" s="121"/>
      <c r="CG10" s="101" t="str">
        <f t="shared" si="13"/>
        <v>N/A</v>
      </c>
      <c r="CH10" s="119"/>
      <c r="CI10" s="101" t="str">
        <f t="shared" si="14"/>
        <v>N/A</v>
      </c>
      <c r="CJ10" s="84"/>
      <c r="CK10" s="101" t="str">
        <f t="shared" si="15"/>
        <v>N/A</v>
      </c>
      <c r="CL10" s="84"/>
      <c r="CM10" s="101" t="str">
        <f t="shared" si="16"/>
        <v>N/A</v>
      </c>
      <c r="CN10" s="84"/>
      <c r="CO10" s="101" t="str">
        <f t="shared" si="17"/>
        <v>N/A</v>
      </c>
      <c r="CP10" s="121"/>
      <c r="CQ10" s="101" t="str">
        <f t="shared" si="18"/>
        <v>N/A</v>
      </c>
      <c r="CR10" s="84"/>
      <c r="CS10" s="101" t="str">
        <f t="shared" si="19"/>
        <v>N/A</v>
      </c>
      <c r="CT10" s="218"/>
      <c r="CU10" s="295"/>
    </row>
    <row r="11" spans="2:99" ht="18.75" customHeight="1">
      <c r="B11" s="247">
        <v>156</v>
      </c>
      <c r="C11" s="265">
        <v>4</v>
      </c>
      <c r="D11" s="462" t="s">
        <v>199</v>
      </c>
      <c r="E11" s="265" t="s">
        <v>361</v>
      </c>
      <c r="F11" s="642"/>
      <c r="G11" s="624"/>
      <c r="H11" s="642"/>
      <c r="I11" s="624"/>
      <c r="J11" s="642"/>
      <c r="K11" s="624"/>
      <c r="L11" s="642"/>
      <c r="M11" s="624"/>
      <c r="N11" s="642"/>
      <c r="O11" s="624"/>
      <c r="P11" s="642"/>
      <c r="Q11" s="624"/>
      <c r="R11" s="642"/>
      <c r="S11" s="624"/>
      <c r="T11" s="642"/>
      <c r="U11" s="624"/>
      <c r="V11" s="642"/>
      <c r="W11" s="624"/>
      <c r="X11" s="642"/>
      <c r="Y11" s="624"/>
      <c r="Z11" s="642"/>
      <c r="AA11" s="624"/>
      <c r="AB11" s="642"/>
      <c r="AC11" s="624"/>
      <c r="AD11" s="642"/>
      <c r="AE11" s="624"/>
      <c r="AF11" s="642"/>
      <c r="AG11" s="624"/>
      <c r="AH11" s="642"/>
      <c r="AI11" s="624"/>
      <c r="AJ11" s="642"/>
      <c r="AK11" s="624"/>
      <c r="AL11" s="642"/>
      <c r="AM11" s="624"/>
      <c r="AN11" s="642"/>
      <c r="AO11" s="624"/>
      <c r="AP11" s="642"/>
      <c r="AQ11" s="624"/>
      <c r="AR11" s="642"/>
      <c r="AS11" s="624"/>
      <c r="AT11" s="642"/>
      <c r="AU11" s="624"/>
      <c r="AV11" s="642"/>
      <c r="AW11" s="624"/>
      <c r="AZ11" s="84">
        <v>4</v>
      </c>
      <c r="BA11" s="465" t="s">
        <v>199</v>
      </c>
      <c r="BB11" s="84" t="s">
        <v>361</v>
      </c>
      <c r="BC11" s="121" t="s">
        <v>97</v>
      </c>
      <c r="BD11" s="120"/>
      <c r="BE11" s="101" t="str">
        <f t="shared" si="20"/>
        <v>N/A</v>
      </c>
      <c r="BF11" s="119"/>
      <c r="BG11" s="101" t="str">
        <f t="shared" si="0"/>
        <v>N/A</v>
      </c>
      <c r="BH11" s="120"/>
      <c r="BI11" s="101" t="str">
        <f t="shared" si="1"/>
        <v>N/A</v>
      </c>
      <c r="BJ11" s="120"/>
      <c r="BK11" s="101" t="str">
        <f t="shared" si="2"/>
        <v>N/A</v>
      </c>
      <c r="BL11" s="120"/>
      <c r="BM11" s="101" t="str">
        <f t="shared" si="3"/>
        <v>N/A</v>
      </c>
      <c r="BN11" s="120"/>
      <c r="BO11" s="101" t="str">
        <f t="shared" si="4"/>
        <v>N/A</v>
      </c>
      <c r="BP11" s="120"/>
      <c r="BQ11" s="101" t="str">
        <f t="shared" si="5"/>
        <v>N/A</v>
      </c>
      <c r="BR11" s="119"/>
      <c r="BS11" s="101" t="str">
        <f t="shared" si="6"/>
        <v>N/A</v>
      </c>
      <c r="BT11" s="84"/>
      <c r="BU11" s="101" t="str">
        <f t="shared" si="7"/>
        <v>N/A</v>
      </c>
      <c r="BV11" s="121"/>
      <c r="BW11" s="101" t="str">
        <f t="shared" si="8"/>
        <v>N/A</v>
      </c>
      <c r="BX11" s="119"/>
      <c r="BY11" s="101" t="str">
        <f t="shared" si="9"/>
        <v>N/A</v>
      </c>
      <c r="BZ11" s="84"/>
      <c r="CA11" s="101" t="str">
        <f t="shared" si="10"/>
        <v>N/A</v>
      </c>
      <c r="CB11" s="120"/>
      <c r="CC11" s="101" t="str">
        <f t="shared" si="11"/>
        <v>N/A</v>
      </c>
      <c r="CD11" s="119"/>
      <c r="CE11" s="101" t="str">
        <f t="shared" si="12"/>
        <v>N/A</v>
      </c>
      <c r="CF11" s="121"/>
      <c r="CG11" s="101" t="str">
        <f t="shared" si="13"/>
        <v>N/A</v>
      </c>
      <c r="CH11" s="119"/>
      <c r="CI11" s="101" t="str">
        <f t="shared" si="14"/>
        <v>N/A</v>
      </c>
      <c r="CJ11" s="84"/>
      <c r="CK11" s="101" t="str">
        <f t="shared" si="15"/>
        <v>N/A</v>
      </c>
      <c r="CL11" s="84"/>
      <c r="CM11" s="101" t="str">
        <f t="shared" si="16"/>
        <v>N/A</v>
      </c>
      <c r="CN11" s="84"/>
      <c r="CO11" s="101" t="str">
        <f t="shared" si="17"/>
        <v>N/A</v>
      </c>
      <c r="CP11" s="121"/>
      <c r="CQ11" s="101" t="str">
        <f t="shared" si="18"/>
        <v>N/A</v>
      </c>
      <c r="CR11" s="84"/>
      <c r="CS11" s="101" t="str">
        <f t="shared" si="19"/>
        <v>N/A</v>
      </c>
      <c r="CT11" s="218"/>
      <c r="CU11" s="295"/>
    </row>
    <row r="12" spans="2:99" ht="18.75" customHeight="1">
      <c r="B12" s="247">
        <v>158</v>
      </c>
      <c r="C12" s="265">
        <v>5</v>
      </c>
      <c r="D12" s="462" t="s">
        <v>379</v>
      </c>
      <c r="E12" s="265" t="s">
        <v>361</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Z12" s="84">
        <v>5</v>
      </c>
      <c r="BA12" s="465" t="s">
        <v>379</v>
      </c>
      <c r="BB12" s="84" t="s">
        <v>361</v>
      </c>
      <c r="BC12" s="121" t="s">
        <v>97</v>
      </c>
      <c r="BD12" s="120"/>
      <c r="BE12" s="101" t="str">
        <f t="shared" si="20"/>
        <v>N/A</v>
      </c>
      <c r="BF12" s="119"/>
      <c r="BG12" s="101" t="str">
        <f t="shared" si="0"/>
        <v>N/A</v>
      </c>
      <c r="BH12" s="120"/>
      <c r="BI12" s="101" t="str">
        <f t="shared" si="1"/>
        <v>N/A</v>
      </c>
      <c r="BJ12" s="120"/>
      <c r="BK12" s="101" t="str">
        <f t="shared" si="2"/>
        <v>N/A</v>
      </c>
      <c r="BL12" s="120"/>
      <c r="BM12" s="101" t="str">
        <f t="shared" si="3"/>
        <v>N/A</v>
      </c>
      <c r="BN12" s="120"/>
      <c r="BO12" s="101" t="str">
        <f t="shared" si="4"/>
        <v>N/A</v>
      </c>
      <c r="BP12" s="120"/>
      <c r="BQ12" s="101" t="str">
        <f t="shared" si="5"/>
        <v>N/A</v>
      </c>
      <c r="BR12" s="119"/>
      <c r="BS12" s="101" t="str">
        <f t="shared" si="6"/>
        <v>N/A</v>
      </c>
      <c r="BT12" s="84"/>
      <c r="BU12" s="101" t="str">
        <f t="shared" si="7"/>
        <v>N/A</v>
      </c>
      <c r="BV12" s="121"/>
      <c r="BW12" s="101" t="str">
        <f t="shared" si="8"/>
        <v>N/A</v>
      </c>
      <c r="BX12" s="119"/>
      <c r="BY12" s="101" t="str">
        <f t="shared" si="9"/>
        <v>N/A</v>
      </c>
      <c r="BZ12" s="84"/>
      <c r="CA12" s="101" t="str">
        <f t="shared" si="10"/>
        <v>N/A</v>
      </c>
      <c r="CB12" s="120"/>
      <c r="CC12" s="101" t="str">
        <f t="shared" si="11"/>
        <v>N/A</v>
      </c>
      <c r="CD12" s="119"/>
      <c r="CE12" s="101" t="str">
        <f t="shared" si="12"/>
        <v>N/A</v>
      </c>
      <c r="CF12" s="121"/>
      <c r="CG12" s="101" t="str">
        <f t="shared" si="13"/>
        <v>N/A</v>
      </c>
      <c r="CH12" s="119"/>
      <c r="CI12" s="101" t="str">
        <f t="shared" si="14"/>
        <v>N/A</v>
      </c>
      <c r="CJ12" s="84"/>
      <c r="CK12" s="101" t="str">
        <f t="shared" si="15"/>
        <v>N/A</v>
      </c>
      <c r="CL12" s="84"/>
      <c r="CM12" s="101" t="str">
        <f t="shared" si="16"/>
        <v>N/A</v>
      </c>
      <c r="CN12" s="84"/>
      <c r="CO12" s="101" t="str">
        <f t="shared" si="17"/>
        <v>N/A</v>
      </c>
      <c r="CP12" s="121"/>
      <c r="CQ12" s="101" t="str">
        <f t="shared" si="18"/>
        <v>N/A</v>
      </c>
      <c r="CR12" s="84"/>
      <c r="CS12" s="101" t="str">
        <f t="shared" si="19"/>
        <v>N/A</v>
      </c>
      <c r="CT12" s="218"/>
      <c r="CU12" s="295"/>
    </row>
    <row r="13" spans="2:99" ht="18.75" customHeight="1">
      <c r="B13" s="247">
        <v>159</v>
      </c>
      <c r="C13" s="265">
        <v>6</v>
      </c>
      <c r="D13" s="462" t="s">
        <v>378</v>
      </c>
      <c r="E13" s="265" t="s">
        <v>361</v>
      </c>
      <c r="F13" s="642"/>
      <c r="G13" s="624"/>
      <c r="H13" s="642"/>
      <c r="I13" s="624"/>
      <c r="J13" s="642"/>
      <c r="K13" s="624"/>
      <c r="L13" s="642"/>
      <c r="M13" s="624"/>
      <c r="N13" s="642"/>
      <c r="O13" s="624"/>
      <c r="P13" s="642"/>
      <c r="Q13" s="624"/>
      <c r="R13" s="642"/>
      <c r="S13" s="624"/>
      <c r="T13" s="642"/>
      <c r="U13" s="624"/>
      <c r="V13" s="642"/>
      <c r="W13" s="624"/>
      <c r="X13" s="642"/>
      <c r="Y13" s="624"/>
      <c r="Z13" s="642"/>
      <c r="AA13" s="624"/>
      <c r="AB13" s="642"/>
      <c r="AC13" s="624"/>
      <c r="AD13" s="642"/>
      <c r="AE13" s="624"/>
      <c r="AF13" s="642"/>
      <c r="AG13" s="624"/>
      <c r="AH13" s="642"/>
      <c r="AI13" s="624"/>
      <c r="AJ13" s="642"/>
      <c r="AK13" s="624"/>
      <c r="AL13" s="642"/>
      <c r="AM13" s="624"/>
      <c r="AN13" s="642"/>
      <c r="AO13" s="624"/>
      <c r="AP13" s="642"/>
      <c r="AQ13" s="624"/>
      <c r="AR13" s="642"/>
      <c r="AS13" s="624"/>
      <c r="AT13" s="642"/>
      <c r="AU13" s="624"/>
      <c r="AV13" s="642"/>
      <c r="AW13" s="624"/>
      <c r="AZ13" s="84">
        <v>6</v>
      </c>
      <c r="BA13" s="465" t="s">
        <v>378</v>
      </c>
      <c r="BB13" s="84" t="s">
        <v>361</v>
      </c>
      <c r="BC13" s="121" t="s">
        <v>97</v>
      </c>
      <c r="BD13" s="120"/>
      <c r="BE13" s="101" t="str">
        <f t="shared" si="20"/>
        <v>N/A</v>
      </c>
      <c r="BF13" s="119"/>
      <c r="BG13" s="101" t="str">
        <f t="shared" si="0"/>
        <v>N/A</v>
      </c>
      <c r="BH13" s="120"/>
      <c r="BI13" s="101" t="str">
        <f t="shared" si="1"/>
        <v>N/A</v>
      </c>
      <c r="BJ13" s="120"/>
      <c r="BK13" s="101" t="str">
        <f t="shared" si="2"/>
        <v>N/A</v>
      </c>
      <c r="BL13" s="120"/>
      <c r="BM13" s="101" t="str">
        <f t="shared" si="3"/>
        <v>N/A</v>
      </c>
      <c r="BN13" s="120"/>
      <c r="BO13" s="101" t="str">
        <f t="shared" si="4"/>
        <v>N/A</v>
      </c>
      <c r="BP13" s="120"/>
      <c r="BQ13" s="101" t="str">
        <f t="shared" si="5"/>
        <v>N/A</v>
      </c>
      <c r="BR13" s="119"/>
      <c r="BS13" s="101" t="str">
        <f t="shared" si="6"/>
        <v>N/A</v>
      </c>
      <c r="BT13" s="84"/>
      <c r="BU13" s="101" t="str">
        <f t="shared" si="7"/>
        <v>N/A</v>
      </c>
      <c r="BV13" s="119"/>
      <c r="BW13" s="101" t="str">
        <f t="shared" si="8"/>
        <v>N/A</v>
      </c>
      <c r="BX13" s="84"/>
      <c r="BY13" s="101" t="str">
        <f t="shared" si="9"/>
        <v>N/A</v>
      </c>
      <c r="BZ13" s="120"/>
      <c r="CA13" s="101" t="str">
        <f t="shared" si="10"/>
        <v>N/A</v>
      </c>
      <c r="CB13" s="119"/>
      <c r="CC13" s="101" t="str">
        <f t="shared" si="11"/>
        <v>N/A</v>
      </c>
      <c r="CD13" s="84"/>
      <c r="CE13" s="101" t="str">
        <f t="shared" si="12"/>
        <v>N/A</v>
      </c>
      <c r="CF13" s="120"/>
      <c r="CG13" s="101" t="str">
        <f t="shared" si="13"/>
        <v>N/A</v>
      </c>
      <c r="CH13" s="84"/>
      <c r="CI13" s="101" t="str">
        <f t="shared" si="14"/>
        <v>N/A</v>
      </c>
      <c r="CJ13" s="84"/>
      <c r="CK13" s="101" t="str">
        <f t="shared" si="15"/>
        <v>N/A</v>
      </c>
      <c r="CL13" s="119"/>
      <c r="CM13" s="101" t="str">
        <f t="shared" si="16"/>
        <v>N/A</v>
      </c>
      <c r="CN13" s="119"/>
      <c r="CO13" s="101" t="str">
        <f t="shared" si="17"/>
        <v>N/A</v>
      </c>
      <c r="CP13" s="84"/>
      <c r="CQ13" s="101" t="str">
        <f t="shared" si="18"/>
        <v>N/A</v>
      </c>
      <c r="CR13" s="120"/>
      <c r="CS13" s="101" t="str">
        <f t="shared" si="19"/>
        <v>N/A</v>
      </c>
      <c r="CT13" s="218"/>
      <c r="CU13" s="295"/>
    </row>
    <row r="14" spans="2:99" ht="27" customHeight="1">
      <c r="B14" s="247">
        <v>89</v>
      </c>
      <c r="C14" s="265">
        <v>7</v>
      </c>
      <c r="D14" s="262" t="s">
        <v>142</v>
      </c>
      <c r="E14" s="265" t="s">
        <v>361</v>
      </c>
      <c r="F14" s="642"/>
      <c r="G14" s="624"/>
      <c r="H14" s="642"/>
      <c r="I14" s="624"/>
      <c r="J14" s="642"/>
      <c r="K14" s="624"/>
      <c r="L14" s="642"/>
      <c r="M14" s="624"/>
      <c r="N14" s="642"/>
      <c r="O14" s="624"/>
      <c r="P14" s="642"/>
      <c r="Q14" s="624"/>
      <c r="R14" s="642"/>
      <c r="S14" s="624"/>
      <c r="T14" s="642"/>
      <c r="U14" s="624"/>
      <c r="V14" s="642"/>
      <c r="W14" s="624"/>
      <c r="X14" s="642"/>
      <c r="Y14" s="624"/>
      <c r="Z14" s="642"/>
      <c r="AA14" s="624"/>
      <c r="AB14" s="642"/>
      <c r="AC14" s="624"/>
      <c r="AD14" s="642"/>
      <c r="AE14" s="624"/>
      <c r="AF14" s="642"/>
      <c r="AG14" s="624"/>
      <c r="AH14" s="642"/>
      <c r="AI14" s="624"/>
      <c r="AJ14" s="642"/>
      <c r="AK14" s="624"/>
      <c r="AL14" s="642"/>
      <c r="AM14" s="624"/>
      <c r="AN14" s="642"/>
      <c r="AO14" s="624"/>
      <c r="AP14" s="642"/>
      <c r="AQ14" s="624"/>
      <c r="AR14" s="642"/>
      <c r="AS14" s="624"/>
      <c r="AT14" s="642"/>
      <c r="AU14" s="624"/>
      <c r="AV14" s="642"/>
      <c r="AW14" s="624"/>
      <c r="AZ14" s="84">
        <v>7</v>
      </c>
      <c r="BA14" s="258" t="s">
        <v>142</v>
      </c>
      <c r="BB14" s="84" t="s">
        <v>361</v>
      </c>
      <c r="BC14" s="121" t="s">
        <v>97</v>
      </c>
      <c r="BD14" s="120"/>
      <c r="BE14" s="101" t="str">
        <f t="shared" si="20"/>
        <v>N/A</v>
      </c>
      <c r="BF14" s="119"/>
      <c r="BG14" s="101" t="str">
        <f>IF(OR(ISBLANK(H14),ISBLANK(J14)),"N/A",IF(ABS((J14-H14)/H14)&gt;0.25,"&gt; 25%","ok"))</f>
        <v>N/A</v>
      </c>
      <c r="BH14" s="120"/>
      <c r="BI14" s="101" t="str">
        <f t="shared" si="1"/>
        <v>N/A</v>
      </c>
      <c r="BJ14" s="120"/>
      <c r="BK14" s="101" t="str">
        <f t="shared" si="2"/>
        <v>N/A</v>
      </c>
      <c r="BL14" s="120"/>
      <c r="BM14" s="101" t="str">
        <f t="shared" si="3"/>
        <v>N/A</v>
      </c>
      <c r="BN14" s="120"/>
      <c r="BO14" s="101" t="str">
        <f t="shared" si="4"/>
        <v>N/A</v>
      </c>
      <c r="BP14" s="120"/>
      <c r="BQ14" s="101" t="str">
        <f t="shared" si="5"/>
        <v>N/A</v>
      </c>
      <c r="BR14" s="119"/>
      <c r="BS14" s="101" t="str">
        <f t="shared" si="6"/>
        <v>N/A</v>
      </c>
      <c r="BT14" s="84"/>
      <c r="BU14" s="101" t="str">
        <f t="shared" si="7"/>
        <v>N/A</v>
      </c>
      <c r="BV14" s="119"/>
      <c r="BW14" s="101" t="str">
        <f t="shared" si="8"/>
        <v>N/A</v>
      </c>
      <c r="BX14" s="84"/>
      <c r="BY14" s="101" t="str">
        <f t="shared" si="9"/>
        <v>N/A</v>
      </c>
      <c r="BZ14" s="120"/>
      <c r="CA14" s="101" t="str">
        <f t="shared" si="10"/>
        <v>N/A</v>
      </c>
      <c r="CB14" s="119"/>
      <c r="CC14" s="101" t="str">
        <f t="shared" si="11"/>
        <v>N/A</v>
      </c>
      <c r="CD14" s="84"/>
      <c r="CE14" s="101" t="str">
        <f t="shared" si="12"/>
        <v>N/A</v>
      </c>
      <c r="CF14" s="120"/>
      <c r="CG14" s="101" t="str">
        <f t="shared" si="13"/>
        <v>N/A</v>
      </c>
      <c r="CH14" s="84"/>
      <c r="CI14" s="101" t="str">
        <f t="shared" si="14"/>
        <v>N/A</v>
      </c>
      <c r="CJ14" s="84"/>
      <c r="CK14" s="101" t="str">
        <f t="shared" si="15"/>
        <v>N/A</v>
      </c>
      <c r="CL14" s="119"/>
      <c r="CM14" s="101" t="str">
        <f t="shared" si="16"/>
        <v>N/A</v>
      </c>
      <c r="CN14" s="119"/>
      <c r="CO14" s="101" t="str">
        <f t="shared" si="17"/>
        <v>N/A</v>
      </c>
      <c r="CP14" s="84"/>
      <c r="CQ14" s="101" t="str">
        <f t="shared" si="18"/>
        <v>N/A</v>
      </c>
      <c r="CR14" s="120"/>
      <c r="CS14" s="101" t="str">
        <f t="shared" si="19"/>
        <v>N/A</v>
      </c>
      <c r="CT14" s="218"/>
      <c r="CU14" s="295"/>
    </row>
    <row r="15" spans="2:99" ht="27" customHeight="1">
      <c r="B15" s="247">
        <v>94</v>
      </c>
      <c r="C15" s="265">
        <v>8</v>
      </c>
      <c r="D15" s="509" t="s">
        <v>518</v>
      </c>
      <c r="E15" s="265" t="s">
        <v>361</v>
      </c>
      <c r="F15" s="642"/>
      <c r="G15" s="624"/>
      <c r="H15" s="642"/>
      <c r="I15" s="624"/>
      <c r="J15" s="642"/>
      <c r="K15" s="624"/>
      <c r="L15" s="642"/>
      <c r="M15" s="624"/>
      <c r="N15" s="642"/>
      <c r="O15" s="624"/>
      <c r="P15" s="642"/>
      <c r="Q15" s="624"/>
      <c r="R15" s="642"/>
      <c r="S15" s="624"/>
      <c r="T15" s="642"/>
      <c r="U15" s="624"/>
      <c r="V15" s="642"/>
      <c r="W15" s="624"/>
      <c r="X15" s="642"/>
      <c r="Y15" s="624"/>
      <c r="Z15" s="642"/>
      <c r="AA15" s="624"/>
      <c r="AB15" s="642"/>
      <c r="AC15" s="624"/>
      <c r="AD15" s="642"/>
      <c r="AE15" s="624"/>
      <c r="AF15" s="642"/>
      <c r="AG15" s="624"/>
      <c r="AH15" s="642"/>
      <c r="AI15" s="624"/>
      <c r="AJ15" s="642"/>
      <c r="AK15" s="624"/>
      <c r="AL15" s="642"/>
      <c r="AM15" s="624"/>
      <c r="AN15" s="642"/>
      <c r="AO15" s="624"/>
      <c r="AP15" s="642"/>
      <c r="AQ15" s="624"/>
      <c r="AR15" s="642"/>
      <c r="AS15" s="624"/>
      <c r="AT15" s="642"/>
      <c r="AU15" s="624"/>
      <c r="AV15" s="642"/>
      <c r="AW15" s="624"/>
      <c r="AZ15" s="84">
        <v>8</v>
      </c>
      <c r="BA15" s="465" t="s">
        <v>104</v>
      </c>
      <c r="BB15" s="84" t="s">
        <v>361</v>
      </c>
      <c r="BC15" s="121" t="s">
        <v>97</v>
      </c>
      <c r="BD15" s="120"/>
      <c r="BE15" s="101" t="str">
        <f t="shared" si="20"/>
        <v>N/A</v>
      </c>
      <c r="BF15" s="119"/>
      <c r="BG15" s="101" t="str">
        <f t="shared" si="0"/>
        <v>N/A</v>
      </c>
      <c r="BH15" s="120"/>
      <c r="BI15" s="101" t="str">
        <f t="shared" si="1"/>
        <v>N/A</v>
      </c>
      <c r="BJ15" s="120"/>
      <c r="BK15" s="101" t="str">
        <f t="shared" si="2"/>
        <v>N/A</v>
      </c>
      <c r="BL15" s="120"/>
      <c r="BM15" s="101" t="str">
        <f t="shared" si="3"/>
        <v>N/A</v>
      </c>
      <c r="BN15" s="120"/>
      <c r="BO15" s="101" t="str">
        <f>IF(OR(ISBLANK(P15),ISBLANK(R15)),"N/A",IF(ABS((R15-P15)/P15)&gt;0.25,"&gt; 25%","ok"))</f>
        <v>N/A</v>
      </c>
      <c r="BP15" s="120"/>
      <c r="BQ15" s="101" t="str">
        <f>IF(OR(ISBLANK(R15),ISBLANK(T15)),"N/A",IF(ABS((T15-R15)/R15)&gt;0.25,"&gt; 25%","ok"))</f>
        <v>N/A</v>
      </c>
      <c r="BR15" s="119"/>
      <c r="BS15" s="101" t="str">
        <f>IF(OR(ISBLANK(T15),ISBLANK(V15)),"N/A",IF(ABS((V15-T15)/T15)&gt;0.25,"&gt; 25%","ok"))</f>
        <v>N/A</v>
      </c>
      <c r="BT15" s="84"/>
      <c r="BU15" s="101" t="str">
        <f>IF(OR(ISBLANK(V15),ISBLANK(X15)),"N/A",IF(ABS((X15-V15)/V15)&gt;0.25,"&gt; 25%","ok"))</f>
        <v>N/A</v>
      </c>
      <c r="BV15" s="119"/>
      <c r="BW15" s="101" t="str">
        <f>IF(OR(ISBLANK(X15),ISBLANK(Z15)),"N/A",IF(ABS((Z15-X15)/X15)&gt;0.25,"&gt; 25%","ok"))</f>
        <v>N/A</v>
      </c>
      <c r="BX15" s="84"/>
      <c r="BY15" s="101" t="str">
        <f>IF(OR(ISBLANK(Z15),ISBLANK(AB15)),"N/A",IF(ABS((AB15-Z15)/Z15)&gt;0.25,"&gt; 25%","ok"))</f>
        <v>N/A</v>
      </c>
      <c r="BZ15" s="120"/>
      <c r="CA15" s="101" t="str">
        <f>IF(OR(ISBLANK(AB15),ISBLANK(AD15)),"N/A",IF(ABS((AD15-AB15)/AB15)&gt;0.25,"&gt; 25%","ok"))</f>
        <v>N/A</v>
      </c>
      <c r="CB15" s="119"/>
      <c r="CC15" s="101" t="str">
        <f>IF(OR(ISBLANK(AD15),ISBLANK(AF15)),"N/A",IF(ABS((AF15-AD15)/AD15)&gt;0.25,"&gt; 25%","ok"))</f>
        <v>N/A</v>
      </c>
      <c r="CD15" s="84"/>
      <c r="CE15" s="101" t="str">
        <f>IF(OR(ISBLANK(AF15),ISBLANK(AH15)),"N/A",IF(ABS((AH15-AF15)/AF15)&gt;0.25,"&gt; 25%","ok"))</f>
        <v>N/A</v>
      </c>
      <c r="CF15" s="120"/>
      <c r="CG15" s="101" t="str">
        <f>IF(OR(ISBLANK(AH15),ISBLANK(AJ15)),"N/A",IF(ABS((AJ15-AH15)/AH15)&gt;0.25,"&gt; 25%","ok"))</f>
        <v>N/A</v>
      </c>
      <c r="CH15" s="84"/>
      <c r="CI15" s="101" t="str">
        <f>IF(OR(ISBLANK(AJ15),ISBLANK(AL15)),"N/A",IF(ABS((AL15-AJ15)/AJ15)&gt;0.25,"&gt; 25%","ok"))</f>
        <v>N/A</v>
      </c>
      <c r="CJ15" s="84"/>
      <c r="CK15" s="101" t="str">
        <f>IF(OR(ISBLANK(AL15),ISBLANK(AN15)),"N/A",IF(ABS((AN15-AL15)/AL15)&gt;0.25,"&gt; 25%","ok"))</f>
        <v>N/A</v>
      </c>
      <c r="CL15" s="119"/>
      <c r="CM15" s="101" t="str">
        <f>IF(OR(ISBLANK(AN15),ISBLANK(AP15)),"N/A",IF(ABS((AP15-AN15)/AN15)&gt;0.25,"&gt; 25%","ok"))</f>
        <v>N/A</v>
      </c>
      <c r="CN15" s="119"/>
      <c r="CO15" s="101" t="str">
        <f>IF(OR(ISBLANK(AP15),ISBLANK(AR15)),"N/A",IF(ABS((AR15-AP15)/AP15)&gt;0.25,"&gt; 25%","ok"))</f>
        <v>N/A</v>
      </c>
      <c r="CP15" s="84"/>
      <c r="CQ15" s="101" t="str">
        <f>IF(OR(ISBLANK(AR15),ISBLANK(AT15)),"N/A",IF(ABS((AT15-AR15)/AR15)&gt;0.25,"&gt; 25%","ok"))</f>
        <v>N/A</v>
      </c>
      <c r="CR15" s="120"/>
      <c r="CS15" s="101" t="str">
        <f t="shared" si="19"/>
        <v>N/A</v>
      </c>
      <c r="CT15" s="218"/>
      <c r="CU15" s="295"/>
    </row>
    <row r="16" spans="2:99" ht="18.75" customHeight="1">
      <c r="B16" s="247">
        <v>98</v>
      </c>
      <c r="C16" s="265">
        <v>9</v>
      </c>
      <c r="D16" s="462" t="s">
        <v>105</v>
      </c>
      <c r="E16" s="265" t="s">
        <v>361</v>
      </c>
      <c r="F16" s="642"/>
      <c r="G16" s="624"/>
      <c r="H16" s="642"/>
      <c r="I16" s="624"/>
      <c r="J16" s="642"/>
      <c r="K16" s="624"/>
      <c r="L16" s="642"/>
      <c r="M16" s="624"/>
      <c r="N16" s="642"/>
      <c r="O16" s="624"/>
      <c r="P16" s="642"/>
      <c r="Q16" s="624"/>
      <c r="R16" s="642"/>
      <c r="S16" s="624"/>
      <c r="T16" s="642"/>
      <c r="U16" s="624"/>
      <c r="V16" s="642"/>
      <c r="W16" s="624"/>
      <c r="X16" s="642"/>
      <c r="Y16" s="624"/>
      <c r="Z16" s="642"/>
      <c r="AA16" s="624"/>
      <c r="AB16" s="642"/>
      <c r="AC16" s="624"/>
      <c r="AD16" s="642"/>
      <c r="AE16" s="624"/>
      <c r="AF16" s="642"/>
      <c r="AG16" s="624"/>
      <c r="AH16" s="642"/>
      <c r="AI16" s="624"/>
      <c r="AJ16" s="642"/>
      <c r="AK16" s="624"/>
      <c r="AL16" s="642"/>
      <c r="AM16" s="624"/>
      <c r="AN16" s="642"/>
      <c r="AO16" s="624"/>
      <c r="AP16" s="642"/>
      <c r="AQ16" s="624"/>
      <c r="AR16" s="642"/>
      <c r="AS16" s="624"/>
      <c r="AT16" s="642"/>
      <c r="AU16" s="624"/>
      <c r="AV16" s="642"/>
      <c r="AW16" s="624"/>
      <c r="AZ16" s="84">
        <v>9</v>
      </c>
      <c r="BA16" s="465" t="s">
        <v>105</v>
      </c>
      <c r="BB16" s="84" t="s">
        <v>361</v>
      </c>
      <c r="BC16" s="121" t="s">
        <v>97</v>
      </c>
      <c r="BD16" s="120"/>
      <c r="BE16" s="101" t="str">
        <f t="shared" si="20"/>
        <v>N/A</v>
      </c>
      <c r="BF16" s="119"/>
      <c r="BG16" s="101" t="str">
        <f t="shared" si="0"/>
        <v>N/A</v>
      </c>
      <c r="BH16" s="120"/>
      <c r="BI16" s="101" t="str">
        <f t="shared" si="1"/>
        <v>N/A</v>
      </c>
      <c r="BJ16" s="120"/>
      <c r="BK16" s="101" t="str">
        <f t="shared" si="2"/>
        <v>N/A</v>
      </c>
      <c r="BL16" s="120"/>
      <c r="BM16" s="101" t="str">
        <f t="shared" si="3"/>
        <v>N/A</v>
      </c>
      <c r="BN16" s="120"/>
      <c r="BO16" s="101" t="str">
        <f>IF(OR(ISBLANK(P16),ISBLANK(R16)),"N/A",IF(ABS((R16-P16)/P16)&gt;0.25,"&gt; 25%","ok"))</f>
        <v>N/A</v>
      </c>
      <c r="BP16" s="120"/>
      <c r="BQ16" s="101" t="str">
        <f>IF(OR(ISBLANK(R16),ISBLANK(T16)),"N/A",IF(ABS((T16-R16)/R16)&gt;0.25,"&gt; 25%","ok"))</f>
        <v>N/A</v>
      </c>
      <c r="BR16" s="119"/>
      <c r="BS16" s="101" t="str">
        <f>IF(OR(ISBLANK(T16),ISBLANK(V16)),"N/A",IF(ABS((V16-T16)/T16)&gt;0.25,"&gt; 25%","ok"))</f>
        <v>N/A</v>
      </c>
      <c r="BT16" s="84"/>
      <c r="BU16" s="101" t="str">
        <f>IF(OR(ISBLANK(V16),ISBLANK(X16)),"N/A",IF(ABS((X16-V16)/V16)&gt;0.25,"&gt; 25%","ok"))</f>
        <v>N/A</v>
      </c>
      <c r="BV16" s="119"/>
      <c r="BW16" s="101" t="str">
        <f>IF(OR(ISBLANK(X16),ISBLANK(Z16)),"N/A",IF(ABS((Z16-X16)/X16)&gt;0.25,"&gt; 25%","ok"))</f>
        <v>N/A</v>
      </c>
      <c r="BX16" s="84"/>
      <c r="BY16" s="101" t="str">
        <f>IF(OR(ISBLANK(Z16),ISBLANK(AB16)),"N/A",IF(ABS((AB16-Z16)/Z16)&gt;0.25,"&gt; 25%","ok"))</f>
        <v>N/A</v>
      </c>
      <c r="BZ16" s="120"/>
      <c r="CA16" s="101" t="str">
        <f>IF(OR(ISBLANK(AB16),ISBLANK(AD16)),"N/A",IF(ABS((AD16-AB16)/AB16)&gt;0.25,"&gt; 25%","ok"))</f>
        <v>N/A</v>
      </c>
      <c r="CB16" s="119"/>
      <c r="CC16" s="101" t="str">
        <f>IF(OR(ISBLANK(AD16),ISBLANK(AF16)),"N/A",IF(ABS((AF16-AD16)/AD16)&gt;0.25,"&gt; 25%","ok"))</f>
        <v>N/A</v>
      </c>
      <c r="CD16" s="84"/>
      <c r="CE16" s="101" t="str">
        <f>IF(OR(ISBLANK(AF16),ISBLANK(AH16)),"N/A",IF(ABS((AH16-AF16)/AF16)&gt;0.25,"&gt; 25%","ok"))</f>
        <v>N/A</v>
      </c>
      <c r="CF16" s="120"/>
      <c r="CG16" s="101" t="str">
        <f>IF(OR(ISBLANK(AH16),ISBLANK(AJ16)),"N/A",IF(ABS((AJ16-AH16)/AH16)&gt;0.25,"&gt; 25%","ok"))</f>
        <v>N/A</v>
      </c>
      <c r="CH16" s="84"/>
      <c r="CI16" s="101" t="str">
        <f>IF(OR(ISBLANK(AJ16),ISBLANK(AL16)),"N/A",IF(ABS((AL16-AJ16)/AJ16)&gt;0.25,"&gt; 25%","ok"))</f>
        <v>N/A</v>
      </c>
      <c r="CJ16" s="84"/>
      <c r="CK16" s="101" t="str">
        <f>IF(OR(ISBLANK(AL16),ISBLANK(AN16)),"N/A",IF(ABS((AN16-AL16)/AL16)&gt;0.25,"&gt; 25%","ok"))</f>
        <v>N/A</v>
      </c>
      <c r="CL16" s="119"/>
      <c r="CM16" s="101" t="str">
        <f>IF(OR(ISBLANK(AN16),ISBLANK(AP16)),"N/A",IF(ABS((AP16-AN16)/AN16)&gt;0.25,"&gt; 25%","ok"))</f>
        <v>N/A</v>
      </c>
      <c r="CN16" s="119"/>
      <c r="CO16" s="101" t="str">
        <f>IF(OR(ISBLANK(AP16),ISBLANK(AR16)),"N/A",IF(ABS((AR16-AP16)/AP16)&gt;0.25,"&gt; 25%","ok"))</f>
        <v>N/A</v>
      </c>
      <c r="CP16" s="84"/>
      <c r="CQ16" s="101" t="str">
        <f>IF(OR(ISBLANK(AR16),ISBLANK(AT16)),"N/A",IF(ABS((AT16-AR16)/AR16)&gt;0.25,"&gt; 25%","ok"))</f>
        <v>N/A</v>
      </c>
      <c r="CR16" s="120"/>
      <c r="CS16" s="101" t="str">
        <f t="shared" si="19"/>
        <v>N/A</v>
      </c>
      <c r="CT16" s="218"/>
      <c r="CU16" s="295"/>
    </row>
    <row r="17" spans="2:99" ht="18.75" customHeight="1">
      <c r="B17" s="247">
        <v>102</v>
      </c>
      <c r="C17" s="265">
        <v>10</v>
      </c>
      <c r="D17" s="462" t="s">
        <v>106</v>
      </c>
      <c r="E17" s="265" t="s">
        <v>361</v>
      </c>
      <c r="F17" s="642"/>
      <c r="G17" s="624"/>
      <c r="H17" s="642"/>
      <c r="I17" s="624"/>
      <c r="J17" s="642"/>
      <c r="K17" s="624"/>
      <c r="L17" s="642"/>
      <c r="M17" s="624"/>
      <c r="N17" s="642"/>
      <c r="O17" s="624"/>
      <c r="P17" s="642"/>
      <c r="Q17" s="624"/>
      <c r="R17" s="642"/>
      <c r="S17" s="624"/>
      <c r="T17" s="642"/>
      <c r="U17" s="624"/>
      <c r="V17" s="642"/>
      <c r="W17" s="624"/>
      <c r="X17" s="642"/>
      <c r="Y17" s="624"/>
      <c r="Z17" s="642"/>
      <c r="AA17" s="624"/>
      <c r="AB17" s="642"/>
      <c r="AC17" s="624"/>
      <c r="AD17" s="642"/>
      <c r="AE17" s="624"/>
      <c r="AF17" s="642"/>
      <c r="AG17" s="624"/>
      <c r="AH17" s="642"/>
      <c r="AI17" s="624"/>
      <c r="AJ17" s="642"/>
      <c r="AK17" s="624"/>
      <c r="AL17" s="642"/>
      <c r="AM17" s="624"/>
      <c r="AN17" s="642"/>
      <c r="AO17" s="624"/>
      <c r="AP17" s="642"/>
      <c r="AQ17" s="624"/>
      <c r="AR17" s="642"/>
      <c r="AS17" s="624"/>
      <c r="AT17" s="642"/>
      <c r="AU17" s="624"/>
      <c r="AV17" s="642"/>
      <c r="AW17" s="624"/>
      <c r="AZ17" s="84">
        <v>10</v>
      </c>
      <c r="BA17" s="465" t="s">
        <v>106</v>
      </c>
      <c r="BB17" s="84" t="s">
        <v>361</v>
      </c>
      <c r="BC17" s="121" t="s">
        <v>97</v>
      </c>
      <c r="BD17" s="120"/>
      <c r="BE17" s="101" t="str">
        <f t="shared" si="20"/>
        <v>N/A</v>
      </c>
      <c r="BF17" s="119"/>
      <c r="BG17" s="101" t="str">
        <f t="shared" si="0"/>
        <v>N/A</v>
      </c>
      <c r="BH17" s="121"/>
      <c r="BI17" s="101" t="str">
        <f t="shared" si="1"/>
        <v>N/A</v>
      </c>
      <c r="BJ17" s="121"/>
      <c r="BK17" s="101" t="str">
        <f t="shared" si="2"/>
        <v>N/A</v>
      </c>
      <c r="BL17" s="121"/>
      <c r="BM17" s="101" t="str">
        <f t="shared" si="3"/>
        <v>N/A</v>
      </c>
      <c r="BN17" s="121"/>
      <c r="BO17" s="101" t="str">
        <f>IF(OR(ISBLANK(P17),ISBLANK(R17)),"N/A",IF(ABS((R17-P17)/P17)&gt;0.25,"&gt; 25%","ok"))</f>
        <v>N/A</v>
      </c>
      <c r="BP17" s="121"/>
      <c r="BQ17" s="101" t="str">
        <f>IF(OR(ISBLANK(R17),ISBLANK(T17)),"N/A",IF(ABS((T17-R17)/R17)&gt;0.25,"&gt; 25%","ok"))</f>
        <v>N/A</v>
      </c>
      <c r="BR17" s="119"/>
      <c r="BS17" s="101" t="str">
        <f>IF(OR(ISBLANK(T17),ISBLANK(V17)),"N/A",IF(ABS((V17-T17)/T17)&gt;0.25,"&gt; 25%","ok"))</f>
        <v>N/A</v>
      </c>
      <c r="BT17" s="84"/>
      <c r="BU17" s="101" t="str">
        <f>IF(OR(ISBLANK(V17),ISBLANK(X17)),"N/A",IF(ABS((X17-V17)/V17)&gt;0.25,"&gt; 25%","ok"))</f>
        <v>N/A</v>
      </c>
      <c r="BV17" s="119"/>
      <c r="BW17" s="101" t="str">
        <f>IF(OR(ISBLANK(X17),ISBLANK(Z17)),"N/A",IF(ABS((Z17-X17)/X17)&gt;0.25,"&gt; 25%","ok"))</f>
        <v>N/A</v>
      </c>
      <c r="BX17" s="84"/>
      <c r="BY17" s="101" t="str">
        <f>IF(OR(ISBLANK(Z17),ISBLANK(AB17)),"N/A",IF(ABS((AB17-Z17)/Z17)&gt;0.25,"&gt; 25%","ok"))</f>
        <v>N/A</v>
      </c>
      <c r="BZ17" s="120"/>
      <c r="CA17" s="101" t="str">
        <f>IF(OR(ISBLANK(AB17),ISBLANK(AD17)),"N/A",IF(ABS((AD17-AB17)/AB17)&gt;0.25,"&gt; 25%","ok"))</f>
        <v>N/A</v>
      </c>
      <c r="CB17" s="119"/>
      <c r="CC17" s="101" t="str">
        <f>IF(OR(ISBLANK(AD17),ISBLANK(AF17)),"N/A",IF(ABS((AF17-AD17)/AD17)&gt;0.25,"&gt; 25%","ok"))</f>
        <v>N/A</v>
      </c>
      <c r="CD17" s="84"/>
      <c r="CE17" s="101" t="str">
        <f>IF(OR(ISBLANK(AF17),ISBLANK(AH17)),"N/A",IF(ABS((AH17-AF17)/AF17)&gt;0.25,"&gt; 25%","ok"))</f>
        <v>N/A</v>
      </c>
      <c r="CF17" s="120"/>
      <c r="CG17" s="101" t="str">
        <f>IF(OR(ISBLANK(AH17),ISBLANK(AJ17)),"N/A",IF(ABS((AJ17-AH17)/AH17)&gt;0.25,"&gt; 25%","ok"))</f>
        <v>N/A</v>
      </c>
      <c r="CH17" s="84"/>
      <c r="CI17" s="101" t="str">
        <f>IF(OR(ISBLANK(AJ17),ISBLANK(AL17)),"N/A",IF(ABS((AL17-AJ17)/AJ17)&gt;0.25,"&gt; 25%","ok"))</f>
        <v>N/A</v>
      </c>
      <c r="CJ17" s="84"/>
      <c r="CK17" s="101" t="str">
        <f>IF(OR(ISBLANK(AL17),ISBLANK(AN17)),"N/A",IF(ABS((AN17-AL17)/AL17)&gt;0.25,"&gt; 25%","ok"))</f>
        <v>N/A</v>
      </c>
      <c r="CL17" s="119"/>
      <c r="CM17" s="101" t="str">
        <f>IF(OR(ISBLANK(AN17),ISBLANK(AP17)),"N/A",IF(ABS((AP17-AN17)/AN17)&gt;0.25,"&gt; 25%","ok"))</f>
        <v>N/A</v>
      </c>
      <c r="CN17" s="119"/>
      <c r="CO17" s="101" t="str">
        <f>IF(OR(ISBLANK(AP17),ISBLANK(AR17)),"N/A",IF(ABS((AR17-AP17)/AP17)&gt;0.25,"&gt; 25%","ok"))</f>
        <v>N/A</v>
      </c>
      <c r="CP17" s="84"/>
      <c r="CQ17" s="101" t="str">
        <f>IF(OR(ISBLANK(AR17),ISBLANK(AT17)),"N/A",IF(ABS((AT17-AR17)/AR17)&gt;0.25,"&gt; 25%","ok"))</f>
        <v>N/A</v>
      </c>
      <c r="CR17" s="120"/>
      <c r="CS17" s="101" t="str">
        <f t="shared" si="19"/>
        <v>N/A</v>
      </c>
      <c r="CT17" s="218"/>
      <c r="CU17" s="295"/>
    </row>
    <row r="18" spans="2:99" ht="18.75" customHeight="1">
      <c r="B18" s="247">
        <v>109</v>
      </c>
      <c r="C18" s="265">
        <v>11</v>
      </c>
      <c r="D18" s="262" t="s">
        <v>107</v>
      </c>
      <c r="E18" s="265" t="s">
        <v>361</v>
      </c>
      <c r="F18" s="642"/>
      <c r="G18" s="624"/>
      <c r="H18" s="642"/>
      <c r="I18" s="624"/>
      <c r="J18" s="642"/>
      <c r="K18" s="624"/>
      <c r="L18" s="642"/>
      <c r="M18" s="624"/>
      <c r="N18" s="642"/>
      <c r="O18" s="624"/>
      <c r="P18" s="642"/>
      <c r="Q18" s="624"/>
      <c r="R18" s="642"/>
      <c r="S18" s="624"/>
      <c r="T18" s="642"/>
      <c r="U18" s="624"/>
      <c r="V18" s="642"/>
      <c r="W18" s="624"/>
      <c r="X18" s="642"/>
      <c r="Y18" s="624"/>
      <c r="Z18" s="642"/>
      <c r="AA18" s="624"/>
      <c r="AB18" s="642"/>
      <c r="AC18" s="624"/>
      <c r="AD18" s="642"/>
      <c r="AE18" s="624"/>
      <c r="AF18" s="642"/>
      <c r="AG18" s="624"/>
      <c r="AH18" s="642"/>
      <c r="AI18" s="624"/>
      <c r="AJ18" s="642"/>
      <c r="AK18" s="624"/>
      <c r="AL18" s="642"/>
      <c r="AM18" s="624"/>
      <c r="AN18" s="642"/>
      <c r="AO18" s="624"/>
      <c r="AP18" s="642"/>
      <c r="AQ18" s="624"/>
      <c r="AR18" s="642"/>
      <c r="AS18" s="624"/>
      <c r="AT18" s="642"/>
      <c r="AU18" s="624"/>
      <c r="AV18" s="642"/>
      <c r="AW18" s="624"/>
      <c r="AZ18" s="84">
        <v>11</v>
      </c>
      <c r="BA18" s="258" t="s">
        <v>107</v>
      </c>
      <c r="BB18" s="84" t="s">
        <v>361</v>
      </c>
      <c r="BC18" s="121" t="s">
        <v>97</v>
      </c>
      <c r="BD18" s="120"/>
      <c r="BE18" s="101" t="str">
        <f t="shared" si="20"/>
        <v>N/A</v>
      </c>
      <c r="BF18" s="119"/>
      <c r="BG18" s="101" t="str">
        <f t="shared" si="0"/>
        <v>N/A</v>
      </c>
      <c r="BH18" s="121"/>
      <c r="BI18" s="101" t="str">
        <f t="shared" si="1"/>
        <v>N/A</v>
      </c>
      <c r="BJ18" s="121"/>
      <c r="BK18" s="101" t="str">
        <f t="shared" si="2"/>
        <v>N/A</v>
      </c>
      <c r="BL18" s="121"/>
      <c r="BM18" s="101" t="str">
        <f t="shared" si="3"/>
        <v>N/A</v>
      </c>
      <c r="BN18" s="121"/>
      <c r="BO18" s="101" t="str">
        <f>IF(OR(ISBLANK(P18),ISBLANK(R18)),"N/A",IF(ABS((R18-P18)/P18)&gt;0.25,"&gt; 25%","ok"))</f>
        <v>N/A</v>
      </c>
      <c r="BP18" s="121"/>
      <c r="BQ18" s="101" t="str">
        <f>IF(OR(ISBLANK(R18),ISBLANK(T18)),"N/A",IF(ABS((T18-R18)/R18)&gt;0.25,"&gt; 25%","ok"))</f>
        <v>N/A</v>
      </c>
      <c r="BR18" s="84"/>
      <c r="BS18" s="101" t="str">
        <f>IF(OR(ISBLANK(T18),ISBLANK(V18)),"N/A",IF(ABS((V18-T18)/T18)&gt;0.25,"&gt; 25%","ok"))</f>
        <v>N/A</v>
      </c>
      <c r="BT18" s="84"/>
      <c r="BU18" s="101" t="str">
        <f>IF(OR(ISBLANK(V18),ISBLANK(X18)),"N/A",IF(ABS((X18-V18)/V18)&gt;0.25,"&gt; 25%","ok"))</f>
        <v>N/A</v>
      </c>
      <c r="BV18" s="119"/>
      <c r="BW18" s="101" t="str">
        <f>IF(OR(ISBLANK(X18),ISBLANK(Z18)),"N/A",IF(ABS((Z18-X18)/X18)&gt;0.25,"&gt; 25%","ok"))</f>
        <v>N/A</v>
      </c>
      <c r="BX18" s="84"/>
      <c r="BY18" s="101" t="str">
        <f>IF(OR(ISBLANK(Z18),ISBLANK(AB18)),"N/A",IF(ABS((AB18-Z18)/Z18)&gt;0.25,"&gt; 25%","ok"))</f>
        <v>N/A</v>
      </c>
      <c r="BZ18" s="120"/>
      <c r="CA18" s="101" t="str">
        <f>IF(OR(ISBLANK(AB18),ISBLANK(AD18)),"N/A",IF(ABS((AD18-AB18)/AB18)&gt;0.25,"&gt; 25%","ok"))</f>
        <v>N/A</v>
      </c>
      <c r="CB18" s="119"/>
      <c r="CC18" s="101" t="str">
        <f>IF(OR(ISBLANK(AD18),ISBLANK(AF18)),"N/A",IF(ABS((AF18-AD18)/AD18)&gt;0.25,"&gt; 25%","ok"))</f>
        <v>N/A</v>
      </c>
      <c r="CD18" s="84"/>
      <c r="CE18" s="101" t="str">
        <f>IF(OR(ISBLANK(AF18),ISBLANK(AH18)),"N/A",IF(ABS((AH18-AF18)/AF18)&gt;0.25,"&gt; 25%","ok"))</f>
        <v>N/A</v>
      </c>
      <c r="CF18" s="120"/>
      <c r="CG18" s="101" t="str">
        <f>IF(OR(ISBLANK(AH18),ISBLANK(AJ18)),"N/A",IF(ABS((AJ18-AH18)/AH18)&gt;0.25,"&gt; 25%","ok"))</f>
        <v>N/A</v>
      </c>
      <c r="CH18" s="84"/>
      <c r="CI18" s="101" t="str">
        <f>IF(OR(ISBLANK(AJ18),ISBLANK(AL18)),"N/A",IF(ABS((AL18-AJ18)/AJ18)&gt;0.25,"&gt; 25%","ok"))</f>
        <v>N/A</v>
      </c>
      <c r="CJ18" s="84"/>
      <c r="CK18" s="101" t="str">
        <f>IF(OR(ISBLANK(AL18),ISBLANK(AN18)),"N/A",IF(ABS((AN18-AL18)/AL18)&gt;0.25,"&gt; 25%","ok"))</f>
        <v>N/A</v>
      </c>
      <c r="CL18" s="119"/>
      <c r="CM18" s="101" t="str">
        <f>IF(OR(ISBLANK(AN18),ISBLANK(AP18)),"N/A",IF(ABS((AP18-AN18)/AN18)&gt;0.25,"&gt; 25%","ok"))</f>
        <v>N/A</v>
      </c>
      <c r="CN18" s="119"/>
      <c r="CO18" s="101" t="str">
        <f>IF(OR(ISBLANK(AP18),ISBLANK(AR18)),"N/A",IF(ABS((AR18-AP18)/AP18)&gt;0.25,"&gt; 25%","ok"))</f>
        <v>N/A</v>
      </c>
      <c r="CP18" s="84"/>
      <c r="CQ18" s="101" t="str">
        <f>IF(OR(ISBLANK(AR18),ISBLANK(AT18)),"N/A",IF(ABS((AT18-AR18)/AR18)&gt;0.25,"&gt; 25%","ok"))</f>
        <v>N/A</v>
      </c>
      <c r="CR18" s="120"/>
      <c r="CS18" s="101" t="str">
        <f t="shared" si="19"/>
        <v>N/A</v>
      </c>
      <c r="CT18" s="218"/>
      <c r="CU18" s="295"/>
    </row>
    <row r="19" spans="2:99" ht="27" customHeight="1">
      <c r="B19" s="247">
        <v>90</v>
      </c>
      <c r="C19" s="265">
        <v>12</v>
      </c>
      <c r="D19" s="509" t="s">
        <v>518</v>
      </c>
      <c r="E19" s="265" t="s">
        <v>361</v>
      </c>
      <c r="F19" s="642"/>
      <c r="G19" s="624"/>
      <c r="H19" s="642"/>
      <c r="I19" s="624"/>
      <c r="J19" s="642"/>
      <c r="K19" s="624"/>
      <c r="L19" s="642"/>
      <c r="M19" s="624"/>
      <c r="N19" s="642"/>
      <c r="O19" s="624"/>
      <c r="P19" s="642"/>
      <c r="Q19" s="624"/>
      <c r="R19" s="642"/>
      <c r="S19" s="624"/>
      <c r="T19" s="642"/>
      <c r="U19" s="624"/>
      <c r="V19" s="642"/>
      <c r="W19" s="624"/>
      <c r="X19" s="642"/>
      <c r="Y19" s="624"/>
      <c r="Z19" s="642"/>
      <c r="AA19" s="624"/>
      <c r="AB19" s="642"/>
      <c r="AC19" s="624"/>
      <c r="AD19" s="642"/>
      <c r="AE19" s="624"/>
      <c r="AF19" s="642"/>
      <c r="AG19" s="624"/>
      <c r="AH19" s="642"/>
      <c r="AI19" s="624"/>
      <c r="AJ19" s="642"/>
      <c r="AK19" s="624"/>
      <c r="AL19" s="642"/>
      <c r="AM19" s="624"/>
      <c r="AN19" s="642"/>
      <c r="AO19" s="624"/>
      <c r="AP19" s="642"/>
      <c r="AQ19" s="624"/>
      <c r="AR19" s="642"/>
      <c r="AS19" s="624"/>
      <c r="AT19" s="642"/>
      <c r="AU19" s="624"/>
      <c r="AV19" s="642"/>
      <c r="AW19" s="624"/>
      <c r="AZ19" s="84">
        <v>12</v>
      </c>
      <c r="BA19" s="465" t="s">
        <v>104</v>
      </c>
      <c r="BB19" s="84" t="s">
        <v>361</v>
      </c>
      <c r="BC19" s="84" t="s">
        <v>97</v>
      </c>
      <c r="BD19" s="121"/>
      <c r="BE19" s="101" t="str">
        <f>IF(OR(ISBLANK(F19),ISBLANK(H19)),"N/A",IF(ABS((H19-F19)/F19)&gt;1,"&gt; 100%","ok"))</f>
        <v>N/A</v>
      </c>
      <c r="BF19" s="84"/>
      <c r="BG19" s="101" t="str">
        <f t="shared" si="0"/>
        <v>N/A</v>
      </c>
      <c r="BH19" s="84"/>
      <c r="BI19" s="101" t="str">
        <f>IF(OR(ISBLANK(J19),ISBLANK(L19)),"N/A",IF(ABS((L19-J19)/J19)&gt;0.25,"&gt; 25%","ok"))</f>
        <v>N/A</v>
      </c>
      <c r="BJ19" s="84"/>
      <c r="BK19" s="101" t="str">
        <f t="shared" si="2"/>
        <v>N/A</v>
      </c>
      <c r="BL19" s="84"/>
      <c r="BM19" s="101" t="str">
        <f t="shared" si="3"/>
        <v>N/A</v>
      </c>
      <c r="BN19" s="84"/>
      <c r="BO19" s="101" t="str">
        <f aca="true" t="shared" si="21" ref="BO19:BO24">IF(OR(ISBLANK(P19),ISBLANK(R19)),"N/A",IF(ABS((R19-P19)/P19)&gt;0.25,"&gt; 25%","ok"))</f>
        <v>N/A</v>
      </c>
      <c r="BP19" s="84"/>
      <c r="BQ19" s="101" t="str">
        <f aca="true" t="shared" si="22" ref="BQ19:BQ24">IF(OR(ISBLANK(R19),ISBLANK(T19)),"N/A",IF(ABS((T19-R19)/R19)&gt;0.25,"&gt; 25%","ok"))</f>
        <v>N/A</v>
      </c>
      <c r="BR19" s="84"/>
      <c r="BS19" s="101" t="str">
        <f aca="true" t="shared" si="23" ref="BS19:BS24">IF(OR(ISBLANK(T19),ISBLANK(V19)),"N/A",IF(ABS((V19-T19)/T19)&gt;0.25,"&gt; 25%","ok"))</f>
        <v>N/A</v>
      </c>
      <c r="BT19" s="84"/>
      <c r="BU19" s="101" t="str">
        <f aca="true" t="shared" si="24" ref="BU19:BU24">IF(OR(ISBLANK(V19),ISBLANK(X19)),"N/A",IF(ABS((X19-V19)/V19)&gt;0.25,"&gt; 25%","ok"))</f>
        <v>N/A</v>
      </c>
      <c r="BV19" s="119"/>
      <c r="BW19" s="101" t="str">
        <f aca="true" t="shared" si="25" ref="BW19:BW24">IF(OR(ISBLANK(X19),ISBLANK(Z19)),"N/A",IF(ABS((Z19-X19)/X19)&gt;0.25,"&gt; 25%","ok"))</f>
        <v>N/A</v>
      </c>
      <c r="BX19" s="84"/>
      <c r="BY19" s="101" t="str">
        <f aca="true" t="shared" si="26" ref="BY19:BY24">IF(OR(ISBLANK(Z19),ISBLANK(AB19)),"N/A",IF(ABS((AB19-Z19)/Z19)&gt;0.25,"&gt; 25%","ok"))</f>
        <v>N/A</v>
      </c>
      <c r="BZ19" s="120"/>
      <c r="CA19" s="101" t="str">
        <f aca="true" t="shared" si="27" ref="CA19:CA24">IF(OR(ISBLANK(AB19),ISBLANK(AD19)),"N/A",IF(ABS((AD19-AB19)/AB19)&gt;0.25,"&gt; 25%","ok"))</f>
        <v>N/A</v>
      </c>
      <c r="CB19" s="119"/>
      <c r="CC19" s="101" t="str">
        <f aca="true" t="shared" si="28" ref="CC19:CC24">IF(OR(ISBLANK(AD19),ISBLANK(AF19)),"N/A",IF(ABS((AF19-AD19)/AD19)&gt;0.25,"&gt; 25%","ok"))</f>
        <v>N/A</v>
      </c>
      <c r="CD19" s="84"/>
      <c r="CE19" s="101" t="str">
        <f aca="true" t="shared" si="29" ref="CE19:CE24">IF(OR(ISBLANK(AF19),ISBLANK(AH19)),"N/A",IF(ABS((AH19-AF19)/AF19)&gt;0.25,"&gt; 25%","ok"))</f>
        <v>N/A</v>
      </c>
      <c r="CF19" s="120"/>
      <c r="CG19" s="101" t="str">
        <f aca="true" t="shared" si="30" ref="CG19:CG24">IF(OR(ISBLANK(AH19),ISBLANK(AJ19)),"N/A",IF(ABS((AJ19-AH19)/AH19)&gt;0.25,"&gt; 25%","ok"))</f>
        <v>N/A</v>
      </c>
      <c r="CH19" s="84"/>
      <c r="CI19" s="101" t="str">
        <f aca="true" t="shared" si="31" ref="CI19:CI24">IF(OR(ISBLANK(AJ19),ISBLANK(AL19)),"N/A",IF(ABS((AL19-AJ19)/AJ19)&gt;0.25,"&gt; 25%","ok"))</f>
        <v>N/A</v>
      </c>
      <c r="CJ19" s="84"/>
      <c r="CK19" s="101" t="str">
        <f aca="true" t="shared" si="32" ref="CK19:CK24">IF(OR(ISBLANK(AL19),ISBLANK(AN19)),"N/A",IF(ABS((AN19-AL19)/AL19)&gt;0.25,"&gt; 25%","ok"))</f>
        <v>N/A</v>
      </c>
      <c r="CL19" s="119"/>
      <c r="CM19" s="101" t="str">
        <f aca="true" t="shared" si="33" ref="CM19:CM24">IF(OR(ISBLANK(AN19),ISBLANK(AP19)),"N/A",IF(ABS((AP19-AN19)/AN19)&gt;0.25,"&gt; 25%","ok"))</f>
        <v>N/A</v>
      </c>
      <c r="CN19" s="119"/>
      <c r="CO19" s="101" t="str">
        <f aca="true" t="shared" si="34" ref="CO19:CO24">IF(OR(ISBLANK(AP19),ISBLANK(AR19)),"N/A",IF(ABS((AR19-AP19)/AP19)&gt;0.25,"&gt; 25%","ok"))</f>
        <v>N/A</v>
      </c>
      <c r="CP19" s="84"/>
      <c r="CQ19" s="101" t="str">
        <f aca="true" t="shared" si="35" ref="CQ19:CQ24">IF(OR(ISBLANK(AR19),ISBLANK(AT19)),"N/A",IF(ABS((AT19-AR19)/AR19)&gt;0.25,"&gt; 25%","ok"))</f>
        <v>N/A</v>
      </c>
      <c r="CR19" s="120"/>
      <c r="CS19" s="101" t="str">
        <f t="shared" si="19"/>
        <v>N/A</v>
      </c>
      <c r="CT19" s="218"/>
      <c r="CU19" s="295"/>
    </row>
    <row r="20" spans="2:99" ht="18.75" customHeight="1">
      <c r="B20" s="247">
        <v>91</v>
      </c>
      <c r="C20" s="265">
        <v>13</v>
      </c>
      <c r="D20" s="462" t="s">
        <v>105</v>
      </c>
      <c r="E20" s="265" t="s">
        <v>361</v>
      </c>
      <c r="F20" s="642"/>
      <c r="G20" s="624"/>
      <c r="H20" s="642"/>
      <c r="I20" s="624"/>
      <c r="J20" s="642"/>
      <c r="K20" s="624"/>
      <c r="L20" s="642"/>
      <c r="M20" s="624"/>
      <c r="N20" s="642"/>
      <c r="O20" s="624"/>
      <c r="P20" s="642"/>
      <c r="Q20" s="624"/>
      <c r="R20" s="642"/>
      <c r="S20" s="624"/>
      <c r="T20" s="642"/>
      <c r="U20" s="624"/>
      <c r="V20" s="642"/>
      <c r="W20" s="624"/>
      <c r="X20" s="642"/>
      <c r="Y20" s="624"/>
      <c r="Z20" s="642"/>
      <c r="AA20" s="624"/>
      <c r="AB20" s="642"/>
      <c r="AC20" s="624"/>
      <c r="AD20" s="642"/>
      <c r="AE20" s="624"/>
      <c r="AF20" s="642"/>
      <c r="AG20" s="624"/>
      <c r="AH20" s="642"/>
      <c r="AI20" s="624"/>
      <c r="AJ20" s="642"/>
      <c r="AK20" s="624"/>
      <c r="AL20" s="642"/>
      <c r="AM20" s="624"/>
      <c r="AN20" s="642"/>
      <c r="AO20" s="624"/>
      <c r="AP20" s="642"/>
      <c r="AQ20" s="624"/>
      <c r="AR20" s="642"/>
      <c r="AS20" s="624"/>
      <c r="AT20" s="642"/>
      <c r="AU20" s="624"/>
      <c r="AV20" s="642"/>
      <c r="AW20" s="624"/>
      <c r="AZ20" s="84">
        <v>13</v>
      </c>
      <c r="BA20" s="465" t="s">
        <v>105</v>
      </c>
      <c r="BB20" s="84" t="s">
        <v>361</v>
      </c>
      <c r="BC20" s="84" t="s">
        <v>97</v>
      </c>
      <c r="BD20" s="121"/>
      <c r="BE20" s="101" t="str">
        <f t="shared" si="20"/>
        <v>N/A</v>
      </c>
      <c r="BF20" s="84"/>
      <c r="BG20" s="101" t="str">
        <f t="shared" si="0"/>
        <v>N/A</v>
      </c>
      <c r="BH20" s="84"/>
      <c r="BI20" s="101" t="str">
        <f t="shared" si="1"/>
        <v>N/A</v>
      </c>
      <c r="BJ20" s="84"/>
      <c r="BK20" s="101" t="str">
        <f t="shared" si="2"/>
        <v>N/A</v>
      </c>
      <c r="BL20" s="84"/>
      <c r="BM20" s="101" t="str">
        <f t="shared" si="3"/>
        <v>N/A</v>
      </c>
      <c r="BN20" s="84"/>
      <c r="BO20" s="101" t="str">
        <f t="shared" si="21"/>
        <v>N/A</v>
      </c>
      <c r="BP20" s="84"/>
      <c r="BQ20" s="101" t="str">
        <f t="shared" si="22"/>
        <v>N/A</v>
      </c>
      <c r="BR20" s="84"/>
      <c r="BS20" s="101" t="str">
        <f t="shared" si="23"/>
        <v>N/A</v>
      </c>
      <c r="BT20" s="84"/>
      <c r="BU20" s="101" t="str">
        <f t="shared" si="24"/>
        <v>N/A</v>
      </c>
      <c r="BV20" s="119"/>
      <c r="BW20" s="101" t="str">
        <f t="shared" si="25"/>
        <v>N/A</v>
      </c>
      <c r="BX20" s="84"/>
      <c r="BY20" s="101" t="str">
        <f t="shared" si="26"/>
        <v>N/A</v>
      </c>
      <c r="BZ20" s="121"/>
      <c r="CA20" s="101" t="str">
        <f t="shared" si="27"/>
        <v>N/A</v>
      </c>
      <c r="CB20" s="119"/>
      <c r="CC20" s="101" t="str">
        <f t="shared" si="28"/>
        <v>N/A</v>
      </c>
      <c r="CD20" s="84"/>
      <c r="CE20" s="101" t="str">
        <f t="shared" si="29"/>
        <v>N/A</v>
      </c>
      <c r="CF20" s="121"/>
      <c r="CG20" s="101" t="str">
        <f t="shared" si="30"/>
        <v>N/A</v>
      </c>
      <c r="CH20" s="84"/>
      <c r="CI20" s="101" t="str">
        <f t="shared" si="31"/>
        <v>N/A</v>
      </c>
      <c r="CJ20" s="84"/>
      <c r="CK20" s="101" t="str">
        <f t="shared" si="32"/>
        <v>N/A</v>
      </c>
      <c r="CL20" s="119"/>
      <c r="CM20" s="101" t="str">
        <f t="shared" si="33"/>
        <v>N/A</v>
      </c>
      <c r="CN20" s="119"/>
      <c r="CO20" s="101" t="str">
        <f t="shared" si="34"/>
        <v>N/A</v>
      </c>
      <c r="CP20" s="84"/>
      <c r="CQ20" s="101" t="str">
        <f t="shared" si="35"/>
        <v>N/A</v>
      </c>
      <c r="CR20" s="121"/>
      <c r="CS20" s="101" t="str">
        <f t="shared" si="19"/>
        <v>N/A</v>
      </c>
      <c r="CT20" s="218"/>
      <c r="CU20" s="295"/>
    </row>
    <row r="21" spans="2:99" ht="18.75" customHeight="1">
      <c r="B21" s="247">
        <v>92</v>
      </c>
      <c r="C21" s="265">
        <v>14</v>
      </c>
      <c r="D21" s="462" t="s">
        <v>106</v>
      </c>
      <c r="E21" s="265" t="s">
        <v>361</v>
      </c>
      <c r="F21" s="642"/>
      <c r="G21" s="624"/>
      <c r="H21" s="642"/>
      <c r="I21" s="624"/>
      <c r="J21" s="642"/>
      <c r="K21" s="624"/>
      <c r="L21" s="642"/>
      <c r="M21" s="624"/>
      <c r="N21" s="642"/>
      <c r="O21" s="624"/>
      <c r="P21" s="642"/>
      <c r="Q21" s="624"/>
      <c r="R21" s="642"/>
      <c r="S21" s="624"/>
      <c r="T21" s="642"/>
      <c r="U21" s="624"/>
      <c r="V21" s="642"/>
      <c r="W21" s="624"/>
      <c r="X21" s="642"/>
      <c r="Y21" s="624"/>
      <c r="Z21" s="642"/>
      <c r="AA21" s="624"/>
      <c r="AB21" s="642"/>
      <c r="AC21" s="624"/>
      <c r="AD21" s="642"/>
      <c r="AE21" s="624"/>
      <c r="AF21" s="642"/>
      <c r="AG21" s="624"/>
      <c r="AH21" s="642"/>
      <c r="AI21" s="624"/>
      <c r="AJ21" s="642"/>
      <c r="AK21" s="624"/>
      <c r="AL21" s="642"/>
      <c r="AM21" s="624"/>
      <c r="AN21" s="642"/>
      <c r="AO21" s="624"/>
      <c r="AP21" s="642"/>
      <c r="AQ21" s="624"/>
      <c r="AR21" s="642"/>
      <c r="AS21" s="624"/>
      <c r="AT21" s="642"/>
      <c r="AU21" s="624"/>
      <c r="AV21" s="642"/>
      <c r="AW21" s="624"/>
      <c r="AZ21" s="84">
        <v>14</v>
      </c>
      <c r="BA21" s="465" t="s">
        <v>106</v>
      </c>
      <c r="BB21" s="84" t="s">
        <v>361</v>
      </c>
      <c r="BC21" s="84" t="s">
        <v>97</v>
      </c>
      <c r="BD21" s="121"/>
      <c r="BE21" s="101" t="str">
        <f t="shared" si="20"/>
        <v>N/A</v>
      </c>
      <c r="BF21" s="84"/>
      <c r="BG21" s="101" t="str">
        <f t="shared" si="0"/>
        <v>N/A</v>
      </c>
      <c r="BH21" s="84"/>
      <c r="BI21" s="101" t="str">
        <f t="shared" si="1"/>
        <v>N/A</v>
      </c>
      <c r="BJ21" s="84"/>
      <c r="BK21" s="101" t="str">
        <f>IF(OR(ISBLANK(L21),ISBLANK(N21)),"N/A",IF(ABS((N21-L21)/L21)&gt;0.25,"&gt; 25%","ok"))</f>
        <v>N/A</v>
      </c>
      <c r="BL21" s="84"/>
      <c r="BM21" s="101" t="str">
        <f t="shared" si="3"/>
        <v>N/A</v>
      </c>
      <c r="BN21" s="84"/>
      <c r="BO21" s="101" t="str">
        <f t="shared" si="21"/>
        <v>N/A</v>
      </c>
      <c r="BP21" s="84"/>
      <c r="BQ21" s="101" t="str">
        <f t="shared" si="22"/>
        <v>N/A</v>
      </c>
      <c r="BR21" s="84"/>
      <c r="BS21" s="101" t="str">
        <f t="shared" si="23"/>
        <v>N/A</v>
      </c>
      <c r="BT21" s="84"/>
      <c r="BU21" s="101" t="str">
        <f t="shared" si="24"/>
        <v>N/A</v>
      </c>
      <c r="BV21" s="119"/>
      <c r="BW21" s="101" t="str">
        <f t="shared" si="25"/>
        <v>N/A</v>
      </c>
      <c r="BX21" s="121"/>
      <c r="BY21" s="101" t="str">
        <f t="shared" si="26"/>
        <v>N/A</v>
      </c>
      <c r="BZ21" s="121"/>
      <c r="CA21" s="101" t="str">
        <f t="shared" si="27"/>
        <v>N/A</v>
      </c>
      <c r="CB21" s="84"/>
      <c r="CC21" s="101" t="str">
        <f t="shared" si="28"/>
        <v>N/A</v>
      </c>
      <c r="CD21" s="121"/>
      <c r="CE21" s="101" t="str">
        <f t="shared" si="29"/>
        <v>N/A</v>
      </c>
      <c r="CF21" s="121"/>
      <c r="CG21" s="101" t="str">
        <f t="shared" si="30"/>
        <v>N/A</v>
      </c>
      <c r="CH21" s="84"/>
      <c r="CI21" s="101" t="str">
        <f t="shared" si="31"/>
        <v>N/A</v>
      </c>
      <c r="CJ21" s="84"/>
      <c r="CK21" s="101" t="str">
        <f t="shared" si="32"/>
        <v>N/A</v>
      </c>
      <c r="CL21" s="119"/>
      <c r="CM21" s="101" t="str">
        <f t="shared" si="33"/>
        <v>N/A</v>
      </c>
      <c r="CN21" s="119"/>
      <c r="CO21" s="101" t="str">
        <f t="shared" si="34"/>
        <v>N/A</v>
      </c>
      <c r="CP21" s="121"/>
      <c r="CQ21" s="101" t="str">
        <f t="shared" si="35"/>
        <v>N/A</v>
      </c>
      <c r="CR21" s="121"/>
      <c r="CS21" s="101" t="str">
        <f t="shared" si="19"/>
        <v>N/A</v>
      </c>
      <c r="CT21" s="218"/>
      <c r="CU21" s="295"/>
    </row>
    <row r="22" spans="2:99" ht="27" customHeight="1">
      <c r="B22" s="247">
        <v>105</v>
      </c>
      <c r="C22" s="265">
        <v>15</v>
      </c>
      <c r="D22" s="273" t="s">
        <v>108</v>
      </c>
      <c r="E22" s="265" t="s">
        <v>361</v>
      </c>
      <c r="F22" s="642"/>
      <c r="G22" s="624"/>
      <c r="H22" s="642"/>
      <c r="I22" s="624"/>
      <c r="J22" s="642"/>
      <c r="K22" s="624"/>
      <c r="L22" s="642"/>
      <c r="M22" s="624"/>
      <c r="N22" s="642"/>
      <c r="O22" s="624"/>
      <c r="P22" s="642"/>
      <c r="Q22" s="624"/>
      <c r="R22" s="642"/>
      <c r="S22" s="624"/>
      <c r="T22" s="642"/>
      <c r="U22" s="624"/>
      <c r="V22" s="642"/>
      <c r="W22" s="624"/>
      <c r="X22" s="642"/>
      <c r="Y22" s="624"/>
      <c r="Z22" s="642"/>
      <c r="AA22" s="624"/>
      <c r="AB22" s="642"/>
      <c r="AC22" s="624"/>
      <c r="AD22" s="642"/>
      <c r="AE22" s="624"/>
      <c r="AF22" s="642"/>
      <c r="AG22" s="624"/>
      <c r="AH22" s="642"/>
      <c r="AI22" s="624"/>
      <c r="AJ22" s="642"/>
      <c r="AK22" s="624"/>
      <c r="AL22" s="642"/>
      <c r="AM22" s="624"/>
      <c r="AN22" s="642"/>
      <c r="AO22" s="624"/>
      <c r="AP22" s="642"/>
      <c r="AQ22" s="624"/>
      <c r="AR22" s="642"/>
      <c r="AS22" s="624"/>
      <c r="AT22" s="642"/>
      <c r="AU22" s="624"/>
      <c r="AV22" s="642"/>
      <c r="AW22" s="624"/>
      <c r="AZ22" s="84">
        <v>15</v>
      </c>
      <c r="BA22" s="274" t="s">
        <v>108</v>
      </c>
      <c r="BB22" s="84" t="s">
        <v>361</v>
      </c>
      <c r="BC22" s="84" t="s">
        <v>97</v>
      </c>
      <c r="BD22" s="121"/>
      <c r="BE22" s="101" t="str">
        <f t="shared" si="20"/>
        <v>N/A</v>
      </c>
      <c r="BF22" s="84"/>
      <c r="BG22" s="101" t="str">
        <f t="shared" si="0"/>
        <v>N/A</v>
      </c>
      <c r="BH22" s="84"/>
      <c r="BI22" s="101" t="str">
        <f t="shared" si="1"/>
        <v>N/A</v>
      </c>
      <c r="BJ22" s="84"/>
      <c r="BK22" s="101" t="str">
        <f t="shared" si="2"/>
        <v>N/A</v>
      </c>
      <c r="BL22" s="84"/>
      <c r="BM22" s="101" t="str">
        <f t="shared" si="3"/>
        <v>N/A</v>
      </c>
      <c r="BN22" s="84"/>
      <c r="BO22" s="101" t="str">
        <f t="shared" si="21"/>
        <v>N/A</v>
      </c>
      <c r="BP22" s="84"/>
      <c r="BQ22" s="101" t="str">
        <f t="shared" si="22"/>
        <v>N/A</v>
      </c>
      <c r="BR22" s="84"/>
      <c r="BS22" s="101" t="str">
        <f t="shared" si="23"/>
        <v>N/A</v>
      </c>
      <c r="BT22" s="84"/>
      <c r="BU22" s="101" t="str">
        <f t="shared" si="24"/>
        <v>N/A</v>
      </c>
      <c r="BV22" s="119"/>
      <c r="BW22" s="101" t="str">
        <f t="shared" si="25"/>
        <v>N/A</v>
      </c>
      <c r="BX22" s="121"/>
      <c r="BY22" s="101" t="str">
        <f t="shared" si="26"/>
        <v>N/A</v>
      </c>
      <c r="BZ22" s="121"/>
      <c r="CA22" s="101" t="str">
        <f t="shared" si="27"/>
        <v>N/A</v>
      </c>
      <c r="CB22" s="84"/>
      <c r="CC22" s="101" t="str">
        <f t="shared" si="28"/>
        <v>N/A</v>
      </c>
      <c r="CD22" s="121"/>
      <c r="CE22" s="101" t="str">
        <f t="shared" si="29"/>
        <v>N/A</v>
      </c>
      <c r="CF22" s="121"/>
      <c r="CG22" s="101" t="str">
        <f t="shared" si="30"/>
        <v>N/A</v>
      </c>
      <c r="CH22" s="84"/>
      <c r="CI22" s="101" t="str">
        <f t="shared" si="31"/>
        <v>N/A</v>
      </c>
      <c r="CJ22" s="84"/>
      <c r="CK22" s="101" t="str">
        <f t="shared" si="32"/>
        <v>N/A</v>
      </c>
      <c r="CL22" s="119"/>
      <c r="CM22" s="101" t="str">
        <f t="shared" si="33"/>
        <v>N/A</v>
      </c>
      <c r="CN22" s="119"/>
      <c r="CO22" s="101" t="str">
        <f t="shared" si="34"/>
        <v>N/A</v>
      </c>
      <c r="CP22" s="121"/>
      <c r="CQ22" s="101" t="str">
        <f t="shared" si="35"/>
        <v>N/A</v>
      </c>
      <c r="CR22" s="121"/>
      <c r="CS22" s="101" t="str">
        <f t="shared" si="19"/>
        <v>N/A</v>
      </c>
      <c r="CT22" s="218"/>
      <c r="CU22" s="295"/>
    </row>
    <row r="23" spans="1:99" ht="18.75" customHeight="1">
      <c r="A23" s="221"/>
      <c r="B23" s="247">
        <v>2414</v>
      </c>
      <c r="C23" s="510">
        <v>16</v>
      </c>
      <c r="D23" s="511" t="s">
        <v>146</v>
      </c>
      <c r="E23" s="265" t="s">
        <v>361</v>
      </c>
      <c r="F23" s="644"/>
      <c r="G23" s="625"/>
      <c r="H23" s="644"/>
      <c r="I23" s="625"/>
      <c r="J23" s="644"/>
      <c r="K23" s="625"/>
      <c r="L23" s="644"/>
      <c r="M23" s="625"/>
      <c r="N23" s="644"/>
      <c r="O23" s="625"/>
      <c r="P23" s="644"/>
      <c r="Q23" s="625"/>
      <c r="R23" s="644"/>
      <c r="S23" s="625"/>
      <c r="T23" s="644"/>
      <c r="U23" s="625"/>
      <c r="V23" s="644"/>
      <c r="W23" s="625"/>
      <c r="X23" s="644"/>
      <c r="Y23" s="625"/>
      <c r="Z23" s="644"/>
      <c r="AA23" s="625"/>
      <c r="AB23" s="644"/>
      <c r="AC23" s="625"/>
      <c r="AD23" s="644"/>
      <c r="AE23" s="625"/>
      <c r="AF23" s="644"/>
      <c r="AG23" s="625"/>
      <c r="AH23" s="644"/>
      <c r="AI23" s="625"/>
      <c r="AJ23" s="644"/>
      <c r="AK23" s="625"/>
      <c r="AL23" s="644"/>
      <c r="AM23" s="625"/>
      <c r="AN23" s="644"/>
      <c r="AO23" s="625"/>
      <c r="AP23" s="644"/>
      <c r="AQ23" s="625"/>
      <c r="AR23" s="644"/>
      <c r="AS23" s="625"/>
      <c r="AT23" s="644"/>
      <c r="AU23" s="625"/>
      <c r="AV23" s="644"/>
      <c r="AW23" s="625"/>
      <c r="AX23" s="390"/>
      <c r="AY23" s="224"/>
      <c r="AZ23" s="270">
        <v>16</v>
      </c>
      <c r="BA23" s="512" t="s">
        <v>146</v>
      </c>
      <c r="BB23" s="84" t="s">
        <v>361</v>
      </c>
      <c r="BC23" s="84" t="s">
        <v>97</v>
      </c>
      <c r="BD23" s="121"/>
      <c r="BE23" s="101" t="str">
        <f t="shared" si="20"/>
        <v>N/A</v>
      </c>
      <c r="BF23" s="84"/>
      <c r="BG23" s="101" t="str">
        <f t="shared" si="0"/>
        <v>N/A</v>
      </c>
      <c r="BH23" s="84"/>
      <c r="BI23" s="101" t="str">
        <f t="shared" si="1"/>
        <v>N/A</v>
      </c>
      <c r="BJ23" s="84"/>
      <c r="BK23" s="101" t="str">
        <f t="shared" si="2"/>
        <v>N/A</v>
      </c>
      <c r="BL23" s="84"/>
      <c r="BM23" s="101" t="str">
        <f t="shared" si="3"/>
        <v>N/A</v>
      </c>
      <c r="BN23" s="84"/>
      <c r="BO23" s="101" t="str">
        <f t="shared" si="21"/>
        <v>N/A</v>
      </c>
      <c r="BP23" s="84"/>
      <c r="BQ23" s="101" t="str">
        <f t="shared" si="22"/>
        <v>N/A</v>
      </c>
      <c r="BR23" s="84"/>
      <c r="BS23" s="101" t="str">
        <f t="shared" si="23"/>
        <v>N/A</v>
      </c>
      <c r="BT23" s="84"/>
      <c r="BU23" s="101" t="str">
        <f t="shared" si="24"/>
        <v>N/A</v>
      </c>
      <c r="BV23" s="84"/>
      <c r="BW23" s="101" t="str">
        <f t="shared" si="25"/>
        <v>N/A</v>
      </c>
      <c r="BX23" s="121"/>
      <c r="BY23" s="101" t="str">
        <f t="shared" si="26"/>
        <v>N/A</v>
      </c>
      <c r="BZ23" s="84"/>
      <c r="CA23" s="101" t="str">
        <f t="shared" si="27"/>
        <v>N/A</v>
      </c>
      <c r="CB23" s="84"/>
      <c r="CC23" s="101" t="str">
        <f t="shared" si="28"/>
        <v>N/A</v>
      </c>
      <c r="CD23" s="121"/>
      <c r="CE23" s="101" t="str">
        <f t="shared" si="29"/>
        <v>N/A</v>
      </c>
      <c r="CF23" s="84"/>
      <c r="CG23" s="101" t="str">
        <f t="shared" si="30"/>
        <v>N/A</v>
      </c>
      <c r="CH23" s="84"/>
      <c r="CI23" s="101" t="str">
        <f t="shared" si="31"/>
        <v>N/A</v>
      </c>
      <c r="CJ23" s="84"/>
      <c r="CK23" s="101" t="str">
        <f t="shared" si="32"/>
        <v>N/A</v>
      </c>
      <c r="CL23" s="84"/>
      <c r="CM23" s="101" t="str">
        <f t="shared" si="33"/>
        <v>N/A</v>
      </c>
      <c r="CN23" s="84"/>
      <c r="CO23" s="101" t="str">
        <f t="shared" si="34"/>
        <v>N/A</v>
      </c>
      <c r="CP23" s="121"/>
      <c r="CQ23" s="101" t="str">
        <f t="shared" si="35"/>
        <v>N/A</v>
      </c>
      <c r="CR23" s="84"/>
      <c r="CS23" s="101" t="str">
        <f t="shared" si="19"/>
        <v>N/A</v>
      </c>
      <c r="CT23" s="218"/>
      <c r="CU23" s="295"/>
    </row>
    <row r="24" spans="2:99" ht="18.75" customHeight="1">
      <c r="B24" s="513">
        <v>160</v>
      </c>
      <c r="C24" s="403">
        <v>17</v>
      </c>
      <c r="D24" s="514" t="s">
        <v>39</v>
      </c>
      <c r="E24" s="403" t="s">
        <v>362</v>
      </c>
      <c r="F24" s="645"/>
      <c r="G24" s="626"/>
      <c r="H24" s="645"/>
      <c r="I24" s="626"/>
      <c r="J24" s="645"/>
      <c r="K24" s="626"/>
      <c r="L24" s="645"/>
      <c r="M24" s="626"/>
      <c r="N24" s="645"/>
      <c r="O24" s="626"/>
      <c r="P24" s="645"/>
      <c r="Q24" s="626"/>
      <c r="R24" s="645"/>
      <c r="S24" s="626"/>
      <c r="T24" s="645"/>
      <c r="U24" s="626"/>
      <c r="V24" s="645"/>
      <c r="W24" s="626"/>
      <c r="X24" s="645"/>
      <c r="Y24" s="626"/>
      <c r="Z24" s="645"/>
      <c r="AA24" s="626"/>
      <c r="AB24" s="645"/>
      <c r="AC24" s="626"/>
      <c r="AD24" s="645"/>
      <c r="AE24" s="626"/>
      <c r="AF24" s="645"/>
      <c r="AG24" s="626"/>
      <c r="AH24" s="645"/>
      <c r="AI24" s="626"/>
      <c r="AJ24" s="645"/>
      <c r="AK24" s="626"/>
      <c r="AL24" s="645"/>
      <c r="AM24" s="626"/>
      <c r="AN24" s="645"/>
      <c r="AO24" s="626"/>
      <c r="AP24" s="645"/>
      <c r="AQ24" s="626"/>
      <c r="AR24" s="645"/>
      <c r="AS24" s="626"/>
      <c r="AT24" s="645"/>
      <c r="AU24" s="626"/>
      <c r="AV24" s="645"/>
      <c r="AW24" s="626"/>
      <c r="AZ24" s="99">
        <v>17</v>
      </c>
      <c r="BA24" s="515" t="s">
        <v>39</v>
      </c>
      <c r="BB24" s="99" t="s">
        <v>362</v>
      </c>
      <c r="BC24" s="99" t="s">
        <v>97</v>
      </c>
      <c r="BD24" s="516"/>
      <c r="BE24" s="99" t="str">
        <f t="shared" si="20"/>
        <v>N/A</v>
      </c>
      <c r="BF24" s="99"/>
      <c r="BG24" s="99" t="str">
        <f t="shared" si="0"/>
        <v>N/A</v>
      </c>
      <c r="BH24" s="99"/>
      <c r="BI24" s="99" t="str">
        <f t="shared" si="1"/>
        <v>N/A</v>
      </c>
      <c r="BJ24" s="99"/>
      <c r="BK24" s="99" t="str">
        <f t="shared" si="2"/>
        <v>N/A</v>
      </c>
      <c r="BL24" s="99"/>
      <c r="BM24" s="99" t="str">
        <f>IF(OR(ISBLANK(N24),ISBLANK(P24)),"N/A",IF(ABS((P24-N24)/N24)&gt;0.25,"&gt; 25%","ok"))</f>
        <v>N/A</v>
      </c>
      <c r="BN24" s="99"/>
      <c r="BO24" s="99" t="str">
        <f t="shared" si="21"/>
        <v>N/A</v>
      </c>
      <c r="BP24" s="99"/>
      <c r="BQ24" s="99" t="str">
        <f t="shared" si="22"/>
        <v>N/A</v>
      </c>
      <c r="BR24" s="99"/>
      <c r="BS24" s="99" t="str">
        <f t="shared" si="23"/>
        <v>N/A</v>
      </c>
      <c r="BT24" s="99"/>
      <c r="BU24" s="99" t="str">
        <f t="shared" si="24"/>
        <v>N/A</v>
      </c>
      <c r="BV24" s="99"/>
      <c r="BW24" s="99" t="str">
        <f t="shared" si="25"/>
        <v>N/A</v>
      </c>
      <c r="BX24" s="99"/>
      <c r="BY24" s="99" t="str">
        <f t="shared" si="26"/>
        <v>N/A</v>
      </c>
      <c r="BZ24" s="99"/>
      <c r="CA24" s="99" t="str">
        <f t="shared" si="27"/>
        <v>N/A</v>
      </c>
      <c r="CB24" s="99"/>
      <c r="CC24" s="99" t="str">
        <f t="shared" si="28"/>
        <v>N/A</v>
      </c>
      <c r="CD24" s="99"/>
      <c r="CE24" s="99" t="str">
        <f t="shared" si="29"/>
        <v>N/A</v>
      </c>
      <c r="CF24" s="99"/>
      <c r="CG24" s="99" t="str">
        <f t="shared" si="30"/>
        <v>N/A</v>
      </c>
      <c r="CH24" s="99"/>
      <c r="CI24" s="99" t="str">
        <f t="shared" si="31"/>
        <v>N/A</v>
      </c>
      <c r="CJ24" s="99"/>
      <c r="CK24" s="99" t="str">
        <f t="shared" si="32"/>
        <v>N/A</v>
      </c>
      <c r="CL24" s="99"/>
      <c r="CM24" s="99" t="str">
        <f t="shared" si="33"/>
        <v>N/A</v>
      </c>
      <c r="CN24" s="99"/>
      <c r="CO24" s="99" t="str">
        <f t="shared" si="34"/>
        <v>N/A</v>
      </c>
      <c r="CP24" s="99"/>
      <c r="CQ24" s="99" t="str">
        <f t="shared" si="35"/>
        <v>N/A</v>
      </c>
      <c r="CR24" s="99"/>
      <c r="CS24" s="99" t="str">
        <f t="shared" si="19"/>
        <v>N/A</v>
      </c>
      <c r="CT24" s="218"/>
      <c r="CU24" s="295"/>
    </row>
    <row r="25" spans="3:99" ht="4.5" customHeight="1">
      <c r="C25" s="517"/>
      <c r="D25" s="217"/>
      <c r="E25" s="518"/>
      <c r="F25" s="217"/>
      <c r="G25" s="217"/>
      <c r="H25" s="217"/>
      <c r="I25" s="216"/>
      <c r="J25" s="299"/>
      <c r="K25" s="216"/>
      <c r="L25" s="299"/>
      <c r="M25" s="216"/>
      <c r="N25" s="299"/>
      <c r="O25" s="216"/>
      <c r="P25" s="299"/>
      <c r="Q25" s="216"/>
      <c r="R25" s="299"/>
      <c r="S25" s="216"/>
      <c r="T25" s="299"/>
      <c r="U25" s="216"/>
      <c r="V25" s="299"/>
      <c r="W25" s="216"/>
      <c r="X25" s="217"/>
      <c r="Y25" s="216"/>
      <c r="Z25" s="217"/>
      <c r="AA25" s="216"/>
      <c r="AB25" s="217"/>
      <c r="AC25" s="216"/>
      <c r="AD25" s="217"/>
      <c r="AE25" s="216"/>
      <c r="AF25" s="217"/>
      <c r="AG25" s="216"/>
      <c r="AH25" s="217"/>
      <c r="AI25" s="216"/>
      <c r="AJ25" s="299"/>
      <c r="AK25" s="216"/>
      <c r="AL25" s="217"/>
      <c r="AM25" s="216"/>
      <c r="AN25" s="217"/>
      <c r="AO25" s="353"/>
      <c r="AP25" s="353"/>
      <c r="AQ25" s="353"/>
      <c r="AR25" s="353"/>
      <c r="AS25" s="353"/>
      <c r="AZ25" s="519"/>
      <c r="BA25" s="100"/>
      <c r="BB25" s="520"/>
      <c r="BC25" s="521"/>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T25" s="218"/>
      <c r="CU25" s="295"/>
    </row>
    <row r="26" spans="1:99" s="390" customFormat="1" ht="9.75" customHeight="1">
      <c r="A26" s="189"/>
      <c r="B26" s="190"/>
      <c r="C26" s="366" t="s">
        <v>366</v>
      </c>
      <c r="D26" s="280"/>
      <c r="E26" s="475"/>
      <c r="F26" s="366"/>
      <c r="G26" s="366"/>
      <c r="H26" s="230"/>
      <c r="I26" s="231"/>
      <c r="J26" s="232"/>
      <c r="K26" s="231"/>
      <c r="L26" s="232"/>
      <c r="M26" s="231"/>
      <c r="N26" s="232"/>
      <c r="O26" s="231"/>
      <c r="P26" s="232"/>
      <c r="Q26" s="231"/>
      <c r="R26" s="232"/>
      <c r="S26" s="231"/>
      <c r="T26" s="232"/>
      <c r="U26" s="231"/>
      <c r="V26" s="232"/>
      <c r="W26" s="231"/>
      <c r="X26" s="230"/>
      <c r="Y26" s="231"/>
      <c r="Z26" s="230"/>
      <c r="AA26" s="231"/>
      <c r="AB26" s="230"/>
      <c r="AC26" s="231"/>
      <c r="AD26" s="230"/>
      <c r="AE26" s="231"/>
      <c r="AF26" s="230"/>
      <c r="AG26" s="231"/>
      <c r="AH26" s="230"/>
      <c r="AI26" s="231"/>
      <c r="AJ26" s="232"/>
      <c r="AK26" s="231"/>
      <c r="AL26" s="230"/>
      <c r="AM26" s="231"/>
      <c r="AN26" s="230"/>
      <c r="AO26" s="231"/>
      <c r="AP26" s="231"/>
      <c r="AQ26" s="231"/>
      <c r="AR26" s="231"/>
      <c r="AS26" s="231"/>
      <c r="AT26" s="230"/>
      <c r="AU26" s="231"/>
      <c r="AV26" s="230"/>
      <c r="AW26" s="231"/>
      <c r="AX26" s="202"/>
      <c r="AY26" s="200"/>
      <c r="AZ26" s="376" t="s">
        <v>52</v>
      </c>
      <c r="BA26" s="200"/>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218"/>
      <c r="CU26" s="522"/>
    </row>
    <row r="27" spans="3:99" ht="18" customHeight="1">
      <c r="C27" s="288" t="s">
        <v>167</v>
      </c>
      <c r="D27" s="744" t="s">
        <v>313</v>
      </c>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4"/>
      <c r="AM27" s="744"/>
      <c r="AN27" s="744"/>
      <c r="AO27" s="744"/>
      <c r="AP27" s="744"/>
      <c r="AQ27" s="744"/>
      <c r="AR27" s="744"/>
      <c r="AS27" s="744"/>
      <c r="AT27" s="744"/>
      <c r="AU27" s="744"/>
      <c r="AV27" s="744"/>
      <c r="AW27" s="744"/>
      <c r="AX27" s="744"/>
      <c r="AZ27" s="243" t="s">
        <v>347</v>
      </c>
      <c r="BA27" s="243" t="s">
        <v>349</v>
      </c>
      <c r="BB27" s="243" t="s">
        <v>352</v>
      </c>
      <c r="BC27" s="242">
        <v>1990</v>
      </c>
      <c r="BD27" s="242"/>
      <c r="BE27" s="243">
        <v>1995</v>
      </c>
      <c r="BF27" s="243"/>
      <c r="BG27" s="243">
        <v>1996</v>
      </c>
      <c r="BH27" s="243"/>
      <c r="BI27" s="243">
        <v>1997</v>
      </c>
      <c r="BJ27" s="243"/>
      <c r="BK27" s="243">
        <v>1998</v>
      </c>
      <c r="BL27" s="243"/>
      <c r="BM27" s="243">
        <v>1999</v>
      </c>
      <c r="BN27" s="243"/>
      <c r="BO27" s="243">
        <v>2000</v>
      </c>
      <c r="BP27" s="243"/>
      <c r="BQ27" s="243">
        <v>2001</v>
      </c>
      <c r="BR27" s="243"/>
      <c r="BS27" s="243">
        <v>2002</v>
      </c>
      <c r="BT27" s="243"/>
      <c r="BU27" s="243">
        <v>2003</v>
      </c>
      <c r="BV27" s="243"/>
      <c r="BW27" s="243">
        <v>2004</v>
      </c>
      <c r="BX27" s="243"/>
      <c r="BY27" s="243">
        <v>2005</v>
      </c>
      <c r="BZ27" s="243"/>
      <c r="CA27" s="243">
        <v>2006</v>
      </c>
      <c r="CB27" s="243"/>
      <c r="CC27" s="243">
        <v>2007</v>
      </c>
      <c r="CD27" s="243"/>
      <c r="CE27" s="243">
        <v>2008</v>
      </c>
      <c r="CF27" s="243"/>
      <c r="CG27" s="243">
        <v>2009</v>
      </c>
      <c r="CH27" s="243"/>
      <c r="CI27" s="243">
        <v>2010</v>
      </c>
      <c r="CJ27" s="243"/>
      <c r="CK27" s="243">
        <v>2011</v>
      </c>
      <c r="CL27" s="243"/>
      <c r="CM27" s="243">
        <v>2012</v>
      </c>
      <c r="CN27" s="243"/>
      <c r="CO27" s="243">
        <v>2013</v>
      </c>
      <c r="CP27" s="243"/>
      <c r="CQ27" s="243">
        <v>2014</v>
      </c>
      <c r="CR27" s="243"/>
      <c r="CS27" s="243">
        <v>2015</v>
      </c>
      <c r="CT27" s="218"/>
      <c r="CU27" s="295"/>
    </row>
    <row r="28" spans="1:99" ht="32.25" customHeight="1">
      <c r="A28" s="290"/>
      <c r="B28" s="290"/>
      <c r="C28" s="288" t="s">
        <v>167</v>
      </c>
      <c r="D28" s="740" t="s">
        <v>168</v>
      </c>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740"/>
      <c r="AT28" s="740"/>
      <c r="AU28" s="740"/>
      <c r="AV28" s="740"/>
      <c r="AW28" s="740"/>
      <c r="AX28" s="740"/>
      <c r="AY28" s="407"/>
      <c r="AZ28" s="388">
        <v>1</v>
      </c>
      <c r="BA28" s="506" t="s">
        <v>103</v>
      </c>
      <c r="BB28" s="84" t="s">
        <v>361</v>
      </c>
      <c r="BC28" s="84">
        <f>F8</f>
        <v>0</v>
      </c>
      <c r="BD28" s="84"/>
      <c r="BE28" s="84">
        <f>H8</f>
        <v>0</v>
      </c>
      <c r="BF28" s="84"/>
      <c r="BG28" s="84">
        <f>J8</f>
        <v>0</v>
      </c>
      <c r="BH28" s="84"/>
      <c r="BI28" s="84">
        <f>L8</f>
        <v>0</v>
      </c>
      <c r="BJ28" s="84"/>
      <c r="BK28" s="84">
        <f>N8</f>
        <v>0</v>
      </c>
      <c r="BL28" s="84"/>
      <c r="BM28" s="84">
        <f aca="true" t="shared" si="36" ref="BM28:CS28">P8</f>
        <v>0</v>
      </c>
      <c r="BN28" s="84"/>
      <c r="BO28" s="84">
        <f t="shared" si="36"/>
        <v>0</v>
      </c>
      <c r="BP28" s="84"/>
      <c r="BQ28" s="84">
        <f t="shared" si="36"/>
        <v>0</v>
      </c>
      <c r="BR28" s="84"/>
      <c r="BS28" s="84">
        <f t="shared" si="36"/>
        <v>0</v>
      </c>
      <c r="BT28" s="84"/>
      <c r="BU28" s="84">
        <f t="shared" si="36"/>
        <v>0</v>
      </c>
      <c r="BV28" s="84"/>
      <c r="BW28" s="84">
        <f t="shared" si="36"/>
        <v>0</v>
      </c>
      <c r="BX28" s="84"/>
      <c r="BY28" s="84">
        <f t="shared" si="36"/>
        <v>0</v>
      </c>
      <c r="BZ28" s="84"/>
      <c r="CA28" s="84">
        <f t="shared" si="36"/>
        <v>0</v>
      </c>
      <c r="CB28" s="84"/>
      <c r="CC28" s="84">
        <f t="shared" si="36"/>
        <v>0</v>
      </c>
      <c r="CD28" s="84"/>
      <c r="CE28" s="84">
        <f t="shared" si="36"/>
        <v>0</v>
      </c>
      <c r="CF28" s="84"/>
      <c r="CG28" s="84">
        <f t="shared" si="36"/>
        <v>0</v>
      </c>
      <c r="CH28" s="84"/>
      <c r="CI28" s="84">
        <f t="shared" si="36"/>
        <v>0</v>
      </c>
      <c r="CJ28" s="84"/>
      <c r="CK28" s="84">
        <f t="shared" si="36"/>
        <v>0</v>
      </c>
      <c r="CL28" s="84"/>
      <c r="CM28" s="84">
        <f t="shared" si="36"/>
        <v>0</v>
      </c>
      <c r="CN28" s="84"/>
      <c r="CO28" s="84">
        <f t="shared" si="36"/>
        <v>0</v>
      </c>
      <c r="CP28" s="84"/>
      <c r="CQ28" s="84">
        <f t="shared" si="36"/>
        <v>0</v>
      </c>
      <c r="CR28" s="84"/>
      <c r="CS28" s="84">
        <f t="shared" si="36"/>
        <v>0</v>
      </c>
      <c r="CT28" s="295"/>
      <c r="CU28" s="295"/>
    </row>
    <row r="29" spans="1:99" ht="34.5" customHeight="1">
      <c r="A29" s="290"/>
      <c r="B29" s="290"/>
      <c r="C29" s="288" t="s">
        <v>167</v>
      </c>
      <c r="D29" s="744" t="s">
        <v>129</v>
      </c>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44"/>
      <c r="AY29" s="407"/>
      <c r="AZ29" s="311">
        <v>18</v>
      </c>
      <c r="BA29" s="294" t="s">
        <v>299</v>
      </c>
      <c r="BB29" s="84" t="s">
        <v>361</v>
      </c>
      <c r="BC29" s="84">
        <f>SUM(F9:F13)</f>
        <v>0</v>
      </c>
      <c r="BD29" s="84"/>
      <c r="BE29" s="84">
        <f>SUM(H9:H13)</f>
        <v>0</v>
      </c>
      <c r="BF29" s="84"/>
      <c r="BG29" s="84">
        <f>SUM(J9:J13)</f>
        <v>0</v>
      </c>
      <c r="BH29" s="84"/>
      <c r="BI29" s="84">
        <f>SUM(L9:L13)</f>
        <v>0</v>
      </c>
      <c r="BJ29" s="84"/>
      <c r="BK29" s="84">
        <f>SUM(N9:N13)</f>
        <v>0</v>
      </c>
      <c r="BL29" s="84"/>
      <c r="BM29" s="84">
        <f aca="true" t="shared" si="37" ref="BM29:CS29">SUM(P9:P13)</f>
        <v>0</v>
      </c>
      <c r="BN29" s="84"/>
      <c r="BO29" s="84">
        <f t="shared" si="37"/>
        <v>0</v>
      </c>
      <c r="BP29" s="84"/>
      <c r="BQ29" s="84">
        <f t="shared" si="37"/>
        <v>0</v>
      </c>
      <c r="BR29" s="84"/>
      <c r="BS29" s="84">
        <f t="shared" si="37"/>
        <v>0</v>
      </c>
      <c r="BT29" s="84"/>
      <c r="BU29" s="84">
        <f t="shared" si="37"/>
        <v>0</v>
      </c>
      <c r="BV29" s="84"/>
      <c r="BW29" s="84">
        <f t="shared" si="37"/>
        <v>0</v>
      </c>
      <c r="BX29" s="84"/>
      <c r="BY29" s="84">
        <f t="shared" si="37"/>
        <v>0</v>
      </c>
      <c r="BZ29" s="84"/>
      <c r="CA29" s="84">
        <f t="shared" si="37"/>
        <v>0</v>
      </c>
      <c r="CB29" s="84"/>
      <c r="CC29" s="84">
        <f t="shared" si="37"/>
        <v>0</v>
      </c>
      <c r="CD29" s="84"/>
      <c r="CE29" s="84">
        <f t="shared" si="37"/>
        <v>0</v>
      </c>
      <c r="CF29" s="84"/>
      <c r="CG29" s="84">
        <f t="shared" si="37"/>
        <v>0</v>
      </c>
      <c r="CH29" s="84"/>
      <c r="CI29" s="84">
        <f t="shared" si="37"/>
        <v>0</v>
      </c>
      <c r="CJ29" s="84"/>
      <c r="CK29" s="84">
        <f t="shared" si="37"/>
        <v>0</v>
      </c>
      <c r="CL29" s="84"/>
      <c r="CM29" s="84">
        <f t="shared" si="37"/>
        <v>0</v>
      </c>
      <c r="CN29" s="84"/>
      <c r="CO29" s="84">
        <f t="shared" si="37"/>
        <v>0</v>
      </c>
      <c r="CP29" s="84"/>
      <c r="CQ29" s="84">
        <f t="shared" si="37"/>
        <v>0</v>
      </c>
      <c r="CR29" s="84"/>
      <c r="CS29" s="84">
        <f t="shared" si="37"/>
        <v>0</v>
      </c>
      <c r="CT29" s="295"/>
      <c r="CU29" s="295"/>
    </row>
    <row r="30" spans="1:97" ht="13.5" customHeight="1">
      <c r="A30" s="290"/>
      <c r="B30" s="290"/>
      <c r="C30" s="288" t="s">
        <v>167</v>
      </c>
      <c r="D30" s="765" t="s">
        <v>596</v>
      </c>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407"/>
      <c r="AZ30" s="297" t="s">
        <v>203</v>
      </c>
      <c r="BA30" s="294" t="s">
        <v>300</v>
      </c>
      <c r="BB30" s="84"/>
      <c r="BC30" s="84" t="str">
        <f>IF(OR(ISBLANK(F8),ISBLANK(F9),ISBLANK(F10),ISBLANK(F11),ISBLANK(F12),ISBLANK(F13)),"N/A",IF((BC28=BC29),"ok","&lt;&gt;"))</f>
        <v>N/A</v>
      </c>
      <c r="BD30" s="84"/>
      <c r="BE30" s="84" t="str">
        <f>IF(OR(ISBLANK(H8),ISBLANK(H9),ISBLANK(H10),ISBLANK(H11),ISBLANK(H12),ISBLANK(H13)),"N/A",IF((BE28=BE29),"ok","&lt;&gt;"))</f>
        <v>N/A</v>
      </c>
      <c r="BF30" s="84"/>
      <c r="BG30" s="84" t="str">
        <f>IF(OR(ISBLANK(J8),ISBLANK(J9),ISBLANK(J10),ISBLANK(J11),ISBLANK(J12),ISBLANK(J13)),"N/A",IF((BG28=BG29),"ok","&lt;&gt;"))</f>
        <v>N/A</v>
      </c>
      <c r="BH30" s="84"/>
      <c r="BI30" s="84" t="str">
        <f>IF(OR(ISBLANK(L8),ISBLANK(L9),ISBLANK(L10),ISBLANK(L11),ISBLANK(L12),ISBLANK(L13)),"N/A",IF((BI28=BI29),"ok","&lt;&gt;"))</f>
        <v>N/A</v>
      </c>
      <c r="BJ30" s="84"/>
      <c r="BK30" s="84" t="str">
        <f>IF(OR(ISBLANK(N8),ISBLANK(N9),ISBLANK(N10),ISBLANK(N11),ISBLANK(N12),ISBLANK(N13)),"N/A",IF((BK28=BK29),"ok","&lt;&gt;"))</f>
        <v>N/A</v>
      </c>
      <c r="BL30" s="84"/>
      <c r="BM30" s="84" t="str">
        <f>IF(OR(ISBLANK(P8),ISBLANK(P9),ISBLANK(P10),ISBLANK(P11),ISBLANK(P12),ISBLANK(P13)),"N/A",IF((BM28=BM29),"ok","&lt;&gt;"))</f>
        <v>N/A</v>
      </c>
      <c r="BN30" s="84"/>
      <c r="BO30" s="84" t="str">
        <f>IF(OR(ISBLANK(R8),ISBLANK(R9),ISBLANK(R10),ISBLANK(R11),ISBLANK(R12),ISBLANK(R13)),"N/A",IF((BO28=BO29),"ok","&lt;&gt;"))</f>
        <v>N/A</v>
      </c>
      <c r="BP30" s="84"/>
      <c r="BQ30" s="84" t="str">
        <f>IF(OR(ISBLANK(T8),ISBLANK(T9),ISBLANK(T10),ISBLANK(T11),ISBLANK(T12),ISBLANK(T13)),"N/A",IF((BQ28=BQ29),"ok","&lt;&gt;"))</f>
        <v>N/A</v>
      </c>
      <c r="BR30" s="84"/>
      <c r="BS30" s="84" t="str">
        <f>IF(OR(ISBLANK(V8),ISBLANK(V9),ISBLANK(V10),ISBLANK(V11),ISBLANK(V12),ISBLANK(V13)),"N/A",IF((BS28=BS29),"ok","&lt;&gt;"))</f>
        <v>N/A</v>
      </c>
      <c r="BT30" s="84"/>
      <c r="BU30" s="84" t="str">
        <f>IF(OR(ISBLANK(X8),ISBLANK(X9),ISBLANK(X10),ISBLANK(X11),ISBLANK(X12),ISBLANK(X13)),"N/A",IF((BU28=BU29),"ok","&lt;&gt;"))</f>
        <v>N/A</v>
      </c>
      <c r="BV30" s="84"/>
      <c r="BW30" s="84" t="str">
        <f>IF(OR(ISBLANK(Z8),ISBLANK(Z9),ISBLANK(Z10),ISBLANK(Z11),ISBLANK(Z12),ISBLANK(Z13)),"N/A",IF((BW28=BW29),"ok","&lt;&gt;"))</f>
        <v>N/A</v>
      </c>
      <c r="BX30" s="84"/>
      <c r="BY30" s="119" t="str">
        <f>IF(OR(ISBLANK(AB8),ISBLANK(AB9),ISBLANK(AB10),ISBLANK(AB11),ISBLANK(AB12),ISBLANK(AB13)),"N/A",IF((BY28=BY29),"ok","&lt;&gt;"))</f>
        <v>N/A</v>
      </c>
      <c r="BZ30" s="84"/>
      <c r="CA30" s="84" t="str">
        <f>IF(OR(ISBLANK(AD8),ISBLANK(AD9),ISBLANK(AD10),ISBLANK(AD11),ISBLANK(AD12),ISBLANK(AD13)),"N/A",IF((CA28=CA29),"ok","&lt;&gt;"))</f>
        <v>N/A</v>
      </c>
      <c r="CB30" s="84"/>
      <c r="CC30" s="84" t="str">
        <f>IF(OR(ISBLANK(AF8),ISBLANK(AF9),ISBLANK(AF10),ISBLANK(AF11),ISBLANK(AF12),ISBLANK(AF13)),"N/A",IF((CC28=CC29),"ok","&lt;&gt;"))</f>
        <v>N/A</v>
      </c>
      <c r="CD30" s="84"/>
      <c r="CE30" s="84" t="str">
        <f>IF(OR(ISBLANK(AH8),ISBLANK(AH9),ISBLANK(AH10),ISBLANK(AH11),ISBLANK(AH12),ISBLANK(AH13)),"N/A",IF((CE28=CE29),"ok","&lt;&gt;"))</f>
        <v>N/A</v>
      </c>
      <c r="CF30" s="84"/>
      <c r="CG30" s="84" t="str">
        <f>IF(OR(ISBLANK(AJ8),ISBLANK(AJ9),ISBLANK(AJ10),ISBLANK(AJ11),ISBLANK(AJ12),ISBLANK(AJ13)),"N/A",IF((CG28=CG29),"ok","&lt;&gt;"))</f>
        <v>N/A</v>
      </c>
      <c r="CH30" s="84"/>
      <c r="CI30" s="84" t="str">
        <f>IF(OR(ISBLANK(AL8),ISBLANK(AL9),ISBLANK(AL10),ISBLANK(AL11),ISBLANK(AL12),ISBLANK(AL13)),"N/A",IF((CI28=CI29),"ok","&lt;&gt;"))</f>
        <v>N/A</v>
      </c>
      <c r="CJ30" s="84"/>
      <c r="CK30" s="84" t="str">
        <f>IF(OR(ISBLANK(AN8),ISBLANK(AN9),ISBLANK(AN10),ISBLANK(AN11),ISBLANK(AN12),ISBLANK(AN13)),"N/A",IF((CK28=CK29),"ok","&lt;&gt;"))</f>
        <v>N/A</v>
      </c>
      <c r="CL30" s="84"/>
      <c r="CM30" s="84" t="str">
        <f>IF(OR(ISBLANK(AP8),ISBLANK(AP9),ISBLANK(AP10),ISBLANK(AP11),ISBLANK(AP12),ISBLANK(AP13)),"N/A",IF((CM28=CM29),"ok","&lt;&gt;"))</f>
        <v>N/A</v>
      </c>
      <c r="CN30" s="84"/>
      <c r="CO30" s="84" t="str">
        <f>IF(OR(ISBLANK(AR8),ISBLANK(AR9),ISBLANK(AR10),ISBLANK(AR11),ISBLANK(AR12),ISBLANK(AR13)),"N/A",IF((CO28=CO29),"ok","&lt;&gt;"))</f>
        <v>N/A</v>
      </c>
      <c r="CP30" s="84"/>
      <c r="CQ30" s="119" t="str">
        <f>IF(OR(ISBLANK(AT8),ISBLANK(AT9),ISBLANK(AT10),ISBLANK(AT11),ISBLANK(AT12),ISBLANK(AT13)),"N/A",IF((CQ28=CQ29),"ok","&lt;&gt;"))</f>
        <v>N/A</v>
      </c>
      <c r="CR30" s="84"/>
      <c r="CS30" s="84" t="str">
        <f>IF(OR(ISBLANK(AV8),ISBLANK(AV9),ISBLANK(AV10),ISBLANK(AV11),ISBLANK(AV12),ISBLANK(AV13)),"N/A",IF((CS28=CS29),"ok","&lt;&gt;"))</f>
        <v>N/A</v>
      </c>
    </row>
    <row r="31" spans="1:105" ht="31.5" customHeight="1">
      <c r="A31" s="290"/>
      <c r="B31" s="290"/>
      <c r="C31" s="288"/>
      <c r="D31" s="523" t="str">
        <f>D9&amp;" (W4,2)"</f>
        <v>by:
       Agriculture, forestry and fishing ISIC (01-03) (W4,2)</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9"/>
      <c r="AJ31" s="524"/>
      <c r="AK31" s="524"/>
      <c r="AL31" s="524"/>
      <c r="AM31" s="847" t="str">
        <f>D14&amp;" (W4,7)"</f>
        <v>Wastewater treated in urban wastewater treatment plants (W4,7)</v>
      </c>
      <c r="AN31" s="848"/>
      <c r="AO31" s="848"/>
      <c r="AP31" s="848"/>
      <c r="AQ31" s="848"/>
      <c r="AR31" s="848"/>
      <c r="AS31" s="848"/>
      <c r="AT31" s="849"/>
      <c r="AU31" s="291"/>
      <c r="AV31" s="291"/>
      <c r="AW31" s="291"/>
      <c r="AX31" s="291"/>
      <c r="AY31" s="407"/>
      <c r="AZ31" s="311">
        <v>19</v>
      </c>
      <c r="BA31" s="294" t="s">
        <v>301</v>
      </c>
      <c r="BB31" s="84" t="s">
        <v>361</v>
      </c>
      <c r="BC31" s="84">
        <f>F14+F18+F22+F23</f>
        <v>0</v>
      </c>
      <c r="BD31" s="84"/>
      <c r="BE31" s="84">
        <f>H14+H18+H22+H23</f>
        <v>0</v>
      </c>
      <c r="BF31" s="84"/>
      <c r="BG31" s="84">
        <f>J14+J18+J22+J23</f>
        <v>0</v>
      </c>
      <c r="BH31" s="84"/>
      <c r="BI31" s="84">
        <f>L14+L18+L22+L23</f>
        <v>0</v>
      </c>
      <c r="BJ31" s="84"/>
      <c r="BK31" s="84">
        <f>N14+N18+N22+N23</f>
        <v>0</v>
      </c>
      <c r="BL31" s="84"/>
      <c r="BM31" s="84">
        <f>P14+P18+P22+P23</f>
        <v>0</v>
      </c>
      <c r="BN31" s="84"/>
      <c r="BO31" s="84">
        <f>R14+R18+R22+R23</f>
        <v>0</v>
      </c>
      <c r="BP31" s="84"/>
      <c r="BQ31" s="84">
        <f>T14+T18+T22+T23</f>
        <v>0</v>
      </c>
      <c r="BR31" s="84"/>
      <c r="BS31" s="84">
        <f>V14+V18+V22+V23</f>
        <v>0</v>
      </c>
      <c r="BT31" s="84"/>
      <c r="BU31" s="84">
        <f>X14+X18+X22+X23</f>
        <v>0</v>
      </c>
      <c r="BV31" s="84"/>
      <c r="BW31" s="84">
        <f>Z14+Z18+Z22+Z23</f>
        <v>0</v>
      </c>
      <c r="BX31" s="84"/>
      <c r="BY31" s="119">
        <f>AB14+AB18+AB22+AB23</f>
        <v>0</v>
      </c>
      <c r="BZ31" s="84"/>
      <c r="CA31" s="84">
        <f>AD14+AD18+AD22+AD23</f>
        <v>0</v>
      </c>
      <c r="CB31" s="84"/>
      <c r="CC31" s="84">
        <f>AF14+AF18+AF22+AF23</f>
        <v>0</v>
      </c>
      <c r="CD31" s="84"/>
      <c r="CE31" s="84">
        <f>AH14+AH18+AH22+AH23</f>
        <v>0</v>
      </c>
      <c r="CF31" s="84"/>
      <c r="CG31" s="84">
        <f>AJ14+AJ18+AJ22+AJ23</f>
        <v>0</v>
      </c>
      <c r="CH31" s="119"/>
      <c r="CI31" s="119">
        <f>AL14+AL18+AL22+AL23</f>
        <v>0</v>
      </c>
      <c r="CJ31" s="84"/>
      <c r="CK31" s="84">
        <f>AN14+AN18+AN22+AN23</f>
        <v>0</v>
      </c>
      <c r="CL31" s="84"/>
      <c r="CM31" s="84">
        <f>AP14+AP18+AP22+AP23</f>
        <v>0</v>
      </c>
      <c r="CN31" s="119"/>
      <c r="CO31" s="119">
        <f>AR14+AR18+AR22+AR23</f>
        <v>0</v>
      </c>
      <c r="CP31" s="84"/>
      <c r="CQ31" s="119">
        <f>AT14+AT18+AT22+AT23</f>
        <v>0</v>
      </c>
      <c r="CR31" s="84"/>
      <c r="CS31" s="84">
        <f>AV14+AV18+AV22+AV23</f>
        <v>0</v>
      </c>
      <c r="CT31" s="295"/>
      <c r="CU31" s="295"/>
      <c r="CV31" s="295"/>
      <c r="CW31" s="295"/>
      <c r="CX31" s="295"/>
      <c r="CY31" s="295"/>
      <c r="CZ31" s="295"/>
      <c r="DA31" s="295"/>
    </row>
    <row r="32" spans="1:105" ht="15.75" customHeight="1">
      <c r="A32" s="290"/>
      <c r="B32" s="290"/>
      <c r="C32" s="288"/>
      <c r="D32" s="525"/>
      <c r="E32" s="291"/>
      <c r="F32" s="291"/>
      <c r="G32" s="291"/>
      <c r="H32" s="291"/>
      <c r="I32" s="291"/>
      <c r="J32" s="291"/>
      <c r="K32" s="291"/>
      <c r="L32" s="291"/>
      <c r="M32" s="291"/>
      <c r="N32" s="291"/>
      <c r="O32" s="291"/>
      <c r="P32" s="291"/>
      <c r="Q32" s="291"/>
      <c r="R32" s="291"/>
      <c r="S32" s="291"/>
      <c r="T32" s="291"/>
      <c r="U32" s="291"/>
      <c r="V32" s="291"/>
      <c r="W32" s="291"/>
      <c r="X32" s="291"/>
      <c r="Y32" s="526"/>
      <c r="Z32" s="291"/>
      <c r="AA32" s="291"/>
      <c r="AB32" s="291"/>
      <c r="AC32" s="291"/>
      <c r="AD32" s="291"/>
      <c r="AE32" s="291"/>
      <c r="AF32" s="291"/>
      <c r="AG32" s="291"/>
      <c r="AH32" s="291"/>
      <c r="AI32" s="526"/>
      <c r="AJ32" s="526"/>
      <c r="AK32" s="526"/>
      <c r="AL32" s="526"/>
      <c r="AM32" s="527"/>
      <c r="AN32" s="527"/>
      <c r="AO32" s="527"/>
      <c r="AP32" s="527"/>
      <c r="AQ32" s="525"/>
      <c r="AR32" s="525"/>
      <c r="AS32" s="525"/>
      <c r="AT32" s="525"/>
      <c r="AU32" s="291"/>
      <c r="AV32" s="291"/>
      <c r="AW32" s="291"/>
      <c r="AX32" s="291"/>
      <c r="AY32" s="407"/>
      <c r="AZ32" s="297"/>
      <c r="BA32" s="294"/>
      <c r="BB32" s="84"/>
      <c r="BC32" s="84"/>
      <c r="BD32" s="84"/>
      <c r="BE32" s="84"/>
      <c r="BF32" s="84"/>
      <c r="BG32" s="84"/>
      <c r="BH32" s="84"/>
      <c r="BI32" s="84"/>
      <c r="BJ32" s="84"/>
      <c r="BK32" s="84"/>
      <c r="BL32" s="84"/>
      <c r="BM32" s="84"/>
      <c r="BN32" s="84"/>
      <c r="BO32" s="84"/>
      <c r="BP32" s="84"/>
      <c r="BQ32" s="84"/>
      <c r="BR32" s="84"/>
      <c r="BS32" s="84"/>
      <c r="BT32" s="84"/>
      <c r="BU32" s="84"/>
      <c r="BV32" s="84"/>
      <c r="BW32" s="84"/>
      <c r="BX32" s="119"/>
      <c r="BY32" s="119"/>
      <c r="BZ32" s="119"/>
      <c r="CA32" s="84"/>
      <c r="CB32" s="84"/>
      <c r="CC32" s="84"/>
      <c r="CD32" s="84"/>
      <c r="CE32" s="84"/>
      <c r="CF32" s="84"/>
      <c r="CG32" s="84"/>
      <c r="CH32" s="84"/>
      <c r="CI32" s="84"/>
      <c r="CJ32" s="119"/>
      <c r="CK32" s="119"/>
      <c r="CL32" s="119"/>
      <c r="CM32" s="84"/>
      <c r="CN32" s="121"/>
      <c r="CO32" s="121"/>
      <c r="CP32" s="121"/>
      <c r="CQ32" s="119"/>
      <c r="CR32" s="119"/>
      <c r="CS32" s="84"/>
      <c r="CT32" s="295"/>
      <c r="CU32" s="295"/>
      <c r="CV32" s="295"/>
      <c r="CW32" s="295"/>
      <c r="CX32" s="295"/>
      <c r="CY32" s="295"/>
      <c r="CZ32" s="295"/>
      <c r="DA32" s="295"/>
    </row>
    <row r="33" spans="1:105" ht="21" customHeight="1">
      <c r="A33" s="290"/>
      <c r="B33" s="290"/>
      <c r="C33" s="288"/>
      <c r="D33" s="523" t="str">
        <f>D10&amp;" (W4,3)"</f>
        <v>Manufacturing (ISIC 10-33) (W4,3)</v>
      </c>
      <c r="E33" s="291"/>
      <c r="F33" s="291"/>
      <c r="G33" s="291"/>
      <c r="H33" s="291"/>
      <c r="I33" s="291"/>
      <c r="J33" s="291"/>
      <c r="K33" s="291"/>
      <c r="L33" s="291"/>
      <c r="M33" s="291"/>
      <c r="N33" s="291"/>
      <c r="O33" s="291"/>
      <c r="P33" s="291"/>
      <c r="Q33" s="291"/>
      <c r="R33" s="291"/>
      <c r="S33" s="291"/>
      <c r="T33" s="291"/>
      <c r="U33" s="291"/>
      <c r="V33" s="291"/>
      <c r="W33" s="291"/>
      <c r="X33" s="526"/>
      <c r="Y33" s="527"/>
      <c r="Z33" s="850" t="str">
        <f>D8&amp;" (W4,1)"</f>
        <v>Total wastewater generated (W4,1)</v>
      </c>
      <c r="AA33" s="823"/>
      <c r="AB33" s="823"/>
      <c r="AC33" s="823"/>
      <c r="AD33" s="823"/>
      <c r="AE33" s="823"/>
      <c r="AF33" s="823"/>
      <c r="AG33" s="824"/>
      <c r="AH33" s="291"/>
      <c r="AI33" s="527"/>
      <c r="AJ33" s="527"/>
      <c r="AK33" s="527"/>
      <c r="AL33" s="527"/>
      <c r="AM33" s="847" t="str">
        <f>D18&amp;" (W4,11)"</f>
        <v>Wastewater treated in other treatment plants (W4,11)</v>
      </c>
      <c r="AN33" s="848"/>
      <c r="AO33" s="848"/>
      <c r="AP33" s="848"/>
      <c r="AQ33" s="848"/>
      <c r="AR33" s="848"/>
      <c r="AS33" s="848"/>
      <c r="AT33" s="849"/>
      <c r="AU33" s="291"/>
      <c r="AV33" s="291"/>
      <c r="AW33" s="291"/>
      <c r="AX33" s="291"/>
      <c r="AY33" s="407"/>
      <c r="AZ33" s="297" t="s">
        <v>203</v>
      </c>
      <c r="BA33" s="528" t="s">
        <v>303</v>
      </c>
      <c r="BB33" s="84"/>
      <c r="BC33" s="84" t="str">
        <f>IF(OR(ISBLANK(F8),ISBLANK(F14),ISBLANK(F18),ISBLANK(F22),ISBLANK(F23)),"N/A",IF((BC28=BC31),"ok","&lt;&gt;"))</f>
        <v>N/A</v>
      </c>
      <c r="BD33" s="84"/>
      <c r="BE33" s="84" t="str">
        <f>IF(OR(ISBLANK(H8),ISBLANK(H14),ISBLANK(H18),ISBLANK(H22),ISBLANK(H23)),"N/A",IF((BE28=BE31),"ok","&lt;&gt;"))</f>
        <v>N/A</v>
      </c>
      <c r="BF33" s="84"/>
      <c r="BG33" s="84" t="str">
        <f>IF(OR(ISBLANK(M8),ISBLANK(M14),ISBLANK(M18),ISBLANK(M22),ISBLANK(M23)),"N/A",IF((BG28=BG31),"ok","&lt;&gt;"))</f>
        <v>N/A</v>
      </c>
      <c r="BH33" s="120"/>
      <c r="BI33" s="120" t="str">
        <f>IF(OR(ISBLANK(O8),ISBLANK(O14),ISBLANK(O18),ISBLANK(O22),ISBLANK(O23)),"N/A",IF((BI28=BI31),"ok","&lt;&gt;"))</f>
        <v>N/A</v>
      </c>
      <c r="BJ33" s="121"/>
      <c r="BK33" s="119" t="str">
        <f>IF(OR(ISBLANK(Q8),ISBLANK(Q14),ISBLANK(Q18),ISBLANK(Q22),ISBLANK(Q23)),"N/A",IF((BK28=BK31),"ok","&lt;&gt;"))</f>
        <v>N/A</v>
      </c>
      <c r="BL33" s="119"/>
      <c r="BM33" s="84" t="str">
        <f>IF(OR(ISBLANK(P8),ISBLANK(P14),ISBLANK(P18),ISBLANK(P22),ISBLANK(P23)),"N/A",IF((BM28=BM31),"ok","&lt;&gt;"))</f>
        <v>N/A</v>
      </c>
      <c r="BN33" s="120"/>
      <c r="BO33" s="120" t="str">
        <f>IF(OR(ISBLANK(R8),ISBLANK(R14),ISBLANK(R18),ISBLANK(R22),ISBLANK(R23)),"N/A",IF((BO28=BO31),"ok","&lt;&gt;"))</f>
        <v>N/A</v>
      </c>
      <c r="BP33" s="121"/>
      <c r="BQ33" s="119" t="str">
        <f>IF(OR(ISBLANK(T8),ISBLANK(T14),ISBLANK(T18),ISBLANK(T22),ISBLANK(T23)),"N/A",IF((BQ28=BQ31),"ok","&lt;&gt;"))</f>
        <v>N/A</v>
      </c>
      <c r="BR33" s="121"/>
      <c r="BS33" s="120" t="str">
        <f>IF(OR(ISBLANK(V8),ISBLANK(V14),ISBLANK(V18),ISBLANK(V22),ISBLANK(V23)),"N/A",IF((BS28=BS31),"ok","&lt;&gt;"))</f>
        <v>N/A</v>
      </c>
      <c r="BT33" s="121"/>
      <c r="BU33" s="119" t="str">
        <f>IF(OR(ISBLANK(X8),ISBLANK(X14),ISBLANK(X18),ISBLANK(X22),ISBLANK(X23)),"N/A",IF((BU28=BU31),"ok","&lt;&gt;"))</f>
        <v>N/A</v>
      </c>
      <c r="BV33" s="119"/>
      <c r="BW33" s="119" t="str">
        <f>IF(OR(ISBLANK(Z8),ISBLANK(Z14),ISBLANK(Z18),ISBLANK(Z22),ISBLANK(Z23)),"N/A",IF((BW28=BW31),"ok","&lt;&gt;"))</f>
        <v>N/A</v>
      </c>
      <c r="BX33" s="119"/>
      <c r="BY33" s="119" t="str">
        <f>IF(OR(ISBLANK(AB8),ISBLANK(AB14),ISBLANK(AB18),ISBLANK(AB22),ISBLANK(AB23)),"N/A",IF((BY28=BY31),"ok","&lt;&gt;"))</f>
        <v>N/A</v>
      </c>
      <c r="BZ33" s="121"/>
      <c r="CA33" s="120" t="str">
        <f>IF(OR(ISBLANK(AD8),ISBLANK(AD14),ISBLANK(AD18),ISBLANK(AD22),ISBLANK(AD23)),"N/A",IF((CA28=CA31),"ok","&lt;&gt;"))</f>
        <v>N/A</v>
      </c>
      <c r="CB33" s="120"/>
      <c r="CC33" s="84" t="str">
        <f>IF(OR(ISBLANK(AF8),ISBLANK(AF14),ISBLANK(AF18),ISBLANK(AF22),ISBLANK(AF23)),"N/A",IF((CC28=CC31),"ok","&lt;&gt;"))</f>
        <v>N/A</v>
      </c>
      <c r="CD33" s="84"/>
      <c r="CE33" s="84" t="str">
        <f>IF(OR(ISBLANK(AH8),ISBLANK(AH14),ISBLANK(AH18),ISBLANK(AH22),ISBLANK(AH23)),"N/A",IF((CE28=CE31),"ok","&lt;&gt;"))</f>
        <v>N/A</v>
      </c>
      <c r="CF33" s="84"/>
      <c r="CG33" s="84" t="str">
        <f>IF(OR(ISBLANK(AJ8),ISBLANK(AJ14),ISBLANK(AJ18),ISBLANK(AJ22),ISBLANK(AJ23)),"N/A",IF((CG28=CG31),"ok","&lt;&gt;"))</f>
        <v>N/A</v>
      </c>
      <c r="CH33" s="84"/>
      <c r="CI33" s="84" t="str">
        <f>IF(OR(ISBLANK(AL8),ISBLANK(AL14),ISBLANK(AL18),ISBLANK(AL22),ISBLANK(AL23)),"N/A",IF((CI28=CI31),"ok","&lt;&gt;"))</f>
        <v>N/A</v>
      </c>
      <c r="CJ33" s="121"/>
      <c r="CK33" s="121" t="str">
        <f>IF(OR(ISBLANK(AN8),ISBLANK(AN14),ISBLANK(AN18),ISBLANK(AN22),ISBLANK(AN23)),"N/A",IF((CK28=CK31),"ok","&lt;&gt;"))</f>
        <v>N/A</v>
      </c>
      <c r="CL33" s="121"/>
      <c r="CM33" s="84" t="str">
        <f>IF(OR(ISBLANK(AP8),ISBLANK(AP14),ISBLANK(AP18),ISBLANK(AP22),ISBLANK(AP23)),"N/A",IF((CM28=CM31),"ok","&lt;&gt;"))</f>
        <v>N/A</v>
      </c>
      <c r="CN33" s="121"/>
      <c r="CO33" s="121" t="str">
        <f>IF(OR(ISBLANK(AR8),ISBLANK(AR14),ISBLANK(AR18),ISBLANK(AR22),ISBLANK(AR23)),"N/A",IF((CO28=CO31),"ok","&lt;&gt;"))</f>
        <v>N/A</v>
      </c>
      <c r="CP33" s="121"/>
      <c r="CQ33" s="84" t="str">
        <f>IF(OR(ISBLANK(AT8),ISBLANK(AT14),ISBLANK(AT18),ISBLANK(AT22),ISBLANK(AT23)),"N/A",IF((CQ28=CQ31),"ok","&lt;&gt;"))</f>
        <v>N/A</v>
      </c>
      <c r="CR33" s="84"/>
      <c r="CS33" s="84" t="str">
        <f>IF(OR(ISBLANK(AV8),ISBLANK(AV14),ISBLANK(AV18),ISBLANK(AV22),ISBLANK(AV23)),"N/A",IF((CS28=CS31),"ok","&lt;&gt;"))</f>
        <v>N/A</v>
      </c>
      <c r="CT33" s="295"/>
      <c r="CU33" s="295"/>
      <c r="CV33" s="295"/>
      <c r="CW33" s="295"/>
      <c r="CX33" s="295"/>
      <c r="CY33" s="295"/>
      <c r="CZ33" s="295"/>
      <c r="DA33" s="295"/>
    </row>
    <row r="34" spans="1:105" ht="9" customHeight="1">
      <c r="A34" s="290"/>
      <c r="B34" s="290"/>
      <c r="C34" s="288"/>
      <c r="D34" s="525"/>
      <c r="E34" s="291"/>
      <c r="F34" s="291"/>
      <c r="G34" s="291"/>
      <c r="H34" s="291"/>
      <c r="I34" s="291"/>
      <c r="J34" s="291"/>
      <c r="K34" s="291"/>
      <c r="L34" s="291"/>
      <c r="M34" s="291"/>
      <c r="N34" s="291"/>
      <c r="O34" s="291"/>
      <c r="P34" s="291"/>
      <c r="Q34" s="291"/>
      <c r="R34" s="291"/>
      <c r="S34" s="291"/>
      <c r="T34" s="291"/>
      <c r="U34" s="291"/>
      <c r="V34" s="291"/>
      <c r="W34" s="291"/>
      <c r="X34" s="526"/>
      <c r="Y34" s="527"/>
      <c r="Z34" s="851"/>
      <c r="AA34" s="852"/>
      <c r="AB34" s="852"/>
      <c r="AC34" s="852"/>
      <c r="AD34" s="852"/>
      <c r="AE34" s="852"/>
      <c r="AF34" s="852"/>
      <c r="AG34" s="853"/>
      <c r="AH34" s="291"/>
      <c r="AI34" s="526"/>
      <c r="AJ34" s="526"/>
      <c r="AK34" s="526"/>
      <c r="AL34" s="526"/>
      <c r="AM34" s="527"/>
      <c r="AN34" s="527"/>
      <c r="AO34" s="527"/>
      <c r="AP34" s="527"/>
      <c r="AQ34" s="525"/>
      <c r="AR34" s="525"/>
      <c r="AS34" s="525"/>
      <c r="AT34" s="525"/>
      <c r="AU34" s="291"/>
      <c r="AV34" s="291"/>
      <c r="AW34" s="291"/>
      <c r="AX34" s="291"/>
      <c r="AY34" s="407"/>
      <c r="AZ34" s="529"/>
      <c r="BA34" s="530"/>
      <c r="BB34" s="531"/>
      <c r="BC34" s="121"/>
      <c r="BD34" s="533"/>
      <c r="BE34" s="532"/>
      <c r="BF34" s="532"/>
      <c r="BG34" s="270"/>
      <c r="BH34" s="533"/>
      <c r="BI34" s="533"/>
      <c r="BJ34" s="533"/>
      <c r="BK34" s="533"/>
      <c r="BL34" s="533"/>
      <c r="BM34" s="270"/>
      <c r="BN34" s="533"/>
      <c r="BO34" s="533"/>
      <c r="BP34" s="533"/>
      <c r="BQ34" s="533"/>
      <c r="BR34" s="533"/>
      <c r="BS34" s="533"/>
      <c r="BT34" s="533"/>
      <c r="BU34" s="270"/>
      <c r="BV34" s="270"/>
      <c r="BW34" s="84"/>
      <c r="BX34" s="533"/>
      <c r="BY34" s="533"/>
      <c r="BZ34" s="533"/>
      <c r="CA34" s="84"/>
      <c r="CB34" s="270"/>
      <c r="CC34" s="270"/>
      <c r="CD34" s="270"/>
      <c r="CE34" s="270"/>
      <c r="CF34" s="270"/>
      <c r="CG34" s="270"/>
      <c r="CH34" s="270"/>
      <c r="CI34" s="270"/>
      <c r="CJ34" s="533"/>
      <c r="CK34" s="533"/>
      <c r="CL34" s="533"/>
      <c r="CM34" s="270"/>
      <c r="CN34" s="533"/>
      <c r="CO34" s="533"/>
      <c r="CP34" s="533"/>
      <c r="CQ34" s="270"/>
      <c r="CR34" s="100"/>
      <c r="CS34" s="100"/>
      <c r="CT34" s="295"/>
      <c r="CU34" s="295"/>
      <c r="CV34" s="295"/>
      <c r="CW34" s="295"/>
      <c r="CX34" s="295"/>
      <c r="CY34" s="295"/>
      <c r="CZ34" s="295"/>
      <c r="DA34" s="295"/>
    </row>
    <row r="35" spans="1:105" ht="20.25" customHeight="1">
      <c r="A35" s="290"/>
      <c r="B35" s="290"/>
      <c r="C35" s="288"/>
      <c r="D35" s="523" t="str">
        <f>D11&amp;" (W4,4)"</f>
        <v>Electricity industry (ISIC 351) (W4,4)</v>
      </c>
      <c r="E35" s="291"/>
      <c r="F35" s="291"/>
      <c r="G35" s="291"/>
      <c r="H35" s="291"/>
      <c r="I35" s="291"/>
      <c r="J35" s="291"/>
      <c r="K35" s="291"/>
      <c r="L35" s="291"/>
      <c r="M35" s="291"/>
      <c r="N35" s="291"/>
      <c r="O35" s="291"/>
      <c r="P35" s="291"/>
      <c r="Q35" s="291"/>
      <c r="R35" s="291"/>
      <c r="S35" s="291"/>
      <c r="T35" s="291"/>
      <c r="U35" s="291"/>
      <c r="V35" s="291"/>
      <c r="W35" s="291"/>
      <c r="X35" s="526"/>
      <c r="Y35" s="527"/>
      <c r="Z35" s="851"/>
      <c r="AA35" s="852"/>
      <c r="AB35" s="852"/>
      <c r="AC35" s="852"/>
      <c r="AD35" s="852"/>
      <c r="AE35" s="852"/>
      <c r="AF35" s="852"/>
      <c r="AG35" s="853"/>
      <c r="AH35" s="291"/>
      <c r="AI35" s="304"/>
      <c r="AJ35" s="430"/>
      <c r="AK35" s="430"/>
      <c r="AL35" s="430"/>
      <c r="AM35" s="847" t="str">
        <f>D22&amp;" (W4,15)"</f>
        <v>Wastewater treated in independent treatment facilities (W4,15)</v>
      </c>
      <c r="AN35" s="848"/>
      <c r="AO35" s="848"/>
      <c r="AP35" s="848"/>
      <c r="AQ35" s="848"/>
      <c r="AR35" s="848"/>
      <c r="AS35" s="848"/>
      <c r="AT35" s="849"/>
      <c r="AU35" s="291"/>
      <c r="AV35" s="291"/>
      <c r="AW35" s="291"/>
      <c r="AX35" s="291"/>
      <c r="AY35" s="407"/>
      <c r="AZ35" s="84">
        <v>7</v>
      </c>
      <c r="BA35" s="258" t="s">
        <v>142</v>
      </c>
      <c r="BB35" s="84" t="s">
        <v>361</v>
      </c>
      <c r="BC35" s="121">
        <f>F14</f>
        <v>0</v>
      </c>
      <c r="BD35" s="121"/>
      <c r="BE35" s="84">
        <f>H14</f>
        <v>0</v>
      </c>
      <c r="BF35" s="84"/>
      <c r="BG35" s="84">
        <f>M14</f>
        <v>0</v>
      </c>
      <c r="BH35" s="121"/>
      <c r="BI35" s="121">
        <f>O14</f>
        <v>0</v>
      </c>
      <c r="BJ35" s="121"/>
      <c r="BK35" s="121">
        <f>Q14</f>
        <v>0</v>
      </c>
      <c r="BL35" s="121"/>
      <c r="BM35" s="84">
        <f>P14</f>
        <v>0</v>
      </c>
      <c r="BN35" s="121"/>
      <c r="BO35" s="121">
        <f>R14</f>
        <v>0</v>
      </c>
      <c r="BP35" s="121"/>
      <c r="BQ35" s="121">
        <f>T14</f>
        <v>0</v>
      </c>
      <c r="BR35" s="121"/>
      <c r="BS35" s="121">
        <f>V14</f>
        <v>0</v>
      </c>
      <c r="BT35" s="121"/>
      <c r="BU35" s="84">
        <f>X14</f>
        <v>0</v>
      </c>
      <c r="BV35" s="119"/>
      <c r="BW35" s="119">
        <f>Z14</f>
        <v>0</v>
      </c>
      <c r="BX35" s="121"/>
      <c r="BY35" s="121">
        <f>AB14</f>
        <v>0</v>
      </c>
      <c r="BZ35" s="121"/>
      <c r="CA35" s="120">
        <f>AD14</f>
        <v>0</v>
      </c>
      <c r="CB35" s="120"/>
      <c r="CC35" s="84">
        <f>AF14</f>
        <v>0</v>
      </c>
      <c r="CD35" s="84"/>
      <c r="CE35" s="84">
        <f>AH14</f>
        <v>0</v>
      </c>
      <c r="CF35" s="84"/>
      <c r="CG35" s="84">
        <f>AJ14</f>
        <v>0</v>
      </c>
      <c r="CH35" s="84"/>
      <c r="CI35" s="84">
        <f>AL14</f>
        <v>0</v>
      </c>
      <c r="CJ35" s="121"/>
      <c r="CK35" s="121">
        <f>AN14</f>
        <v>0</v>
      </c>
      <c r="CL35" s="121"/>
      <c r="CM35" s="84">
        <f>AP14</f>
        <v>0</v>
      </c>
      <c r="CN35" s="121"/>
      <c r="CO35" s="121">
        <f>AR14</f>
        <v>0</v>
      </c>
      <c r="CP35" s="121"/>
      <c r="CQ35" s="84">
        <f>AT14</f>
        <v>0</v>
      </c>
      <c r="CR35" s="121"/>
      <c r="CS35" s="121">
        <f>AV14</f>
        <v>0</v>
      </c>
      <c r="CT35" s="295"/>
      <c r="CU35" s="295"/>
      <c r="CV35" s="295"/>
      <c r="CW35" s="295"/>
      <c r="CX35" s="295"/>
      <c r="CY35" s="295"/>
      <c r="CZ35" s="295"/>
      <c r="DA35" s="295"/>
    </row>
    <row r="36" spans="1:105" ht="11.25" customHeight="1">
      <c r="A36" s="290"/>
      <c r="B36" s="290"/>
      <c r="C36" s="288"/>
      <c r="D36" s="299"/>
      <c r="E36" s="291"/>
      <c r="F36" s="291"/>
      <c r="G36" s="291"/>
      <c r="H36" s="291"/>
      <c r="I36" s="291"/>
      <c r="J36" s="291"/>
      <c r="K36" s="291"/>
      <c r="L36" s="291"/>
      <c r="M36" s="291"/>
      <c r="N36" s="291"/>
      <c r="O36" s="291"/>
      <c r="P36" s="291"/>
      <c r="Q36" s="291"/>
      <c r="R36" s="291"/>
      <c r="S36" s="291"/>
      <c r="T36" s="291"/>
      <c r="U36" s="291"/>
      <c r="V36" s="291"/>
      <c r="W36" s="291"/>
      <c r="X36" s="526"/>
      <c r="Y36" s="604"/>
      <c r="Z36" s="825"/>
      <c r="AA36" s="826"/>
      <c r="AB36" s="826"/>
      <c r="AC36" s="826"/>
      <c r="AD36" s="826"/>
      <c r="AE36" s="826"/>
      <c r="AF36" s="826"/>
      <c r="AG36" s="827"/>
      <c r="AH36" s="291"/>
      <c r="AI36" s="353"/>
      <c r="AJ36" s="526"/>
      <c r="AK36" s="526"/>
      <c r="AL36" s="526"/>
      <c r="AM36" s="527"/>
      <c r="AN36" s="527"/>
      <c r="AO36" s="527"/>
      <c r="AP36" s="527"/>
      <c r="AQ36" s="525"/>
      <c r="AR36" s="525"/>
      <c r="AS36" s="525"/>
      <c r="AT36" s="525"/>
      <c r="AU36" s="291"/>
      <c r="AV36" s="291"/>
      <c r="AW36" s="291"/>
      <c r="AX36" s="291"/>
      <c r="AY36" s="535"/>
      <c r="AZ36" s="536"/>
      <c r="BA36" s="531"/>
      <c r="BB36" s="537"/>
      <c r="BC36" s="121"/>
      <c r="BD36" s="100"/>
      <c r="BE36" s="278"/>
      <c r="BF36" s="100"/>
      <c r="BG36" s="100"/>
      <c r="BH36" s="100"/>
      <c r="BI36" s="100"/>
      <c r="BJ36" s="100"/>
      <c r="BK36" s="100"/>
      <c r="BL36" s="100"/>
      <c r="BM36" s="100"/>
      <c r="BN36" s="100"/>
      <c r="BO36" s="100"/>
      <c r="BP36" s="100"/>
      <c r="BQ36" s="100"/>
      <c r="BR36" s="100"/>
      <c r="BS36" s="100"/>
      <c r="BT36" s="100"/>
      <c r="BU36" s="278"/>
      <c r="BV36" s="100"/>
      <c r="BW36" s="100"/>
      <c r="BX36" s="100"/>
      <c r="BY36" s="100"/>
      <c r="BZ36" s="100"/>
      <c r="CA36" s="100"/>
      <c r="CB36" s="100"/>
      <c r="CC36" s="278"/>
      <c r="CD36" s="278"/>
      <c r="CE36" s="278"/>
      <c r="CF36" s="278"/>
      <c r="CG36" s="278"/>
      <c r="CH36" s="278"/>
      <c r="CI36" s="278"/>
      <c r="CJ36" s="100"/>
      <c r="CK36" s="100"/>
      <c r="CL36" s="100"/>
      <c r="CM36" s="278"/>
      <c r="CN36" s="100"/>
      <c r="CO36" s="100"/>
      <c r="CP36" s="100"/>
      <c r="CQ36" s="278"/>
      <c r="CR36" s="100"/>
      <c r="CS36" s="100"/>
      <c r="CT36" s="295"/>
      <c r="CU36" s="295"/>
      <c r="CV36" s="295"/>
      <c r="CW36" s="295"/>
      <c r="CX36" s="295"/>
      <c r="CY36" s="295"/>
      <c r="CZ36" s="295"/>
      <c r="DA36" s="295"/>
    </row>
    <row r="37" spans="1:105" ht="12.75" customHeight="1">
      <c r="A37" s="290"/>
      <c r="B37" s="290"/>
      <c r="C37" s="288"/>
      <c r="D37" s="523" t="str">
        <f>D12&amp;" (W4,5)"</f>
        <v>Other economic activities (W4,5)</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539"/>
      <c r="AJ37" s="430"/>
      <c r="AK37" s="430"/>
      <c r="AL37" s="430"/>
      <c r="AM37" s="847" t="str">
        <f>D23&amp;" (W4,16)"</f>
        <v>Non-treated wastewater (W4,16)</v>
      </c>
      <c r="AN37" s="848"/>
      <c r="AO37" s="848"/>
      <c r="AP37" s="848"/>
      <c r="AQ37" s="848"/>
      <c r="AR37" s="848"/>
      <c r="AS37" s="848"/>
      <c r="AT37" s="849"/>
      <c r="AU37" s="291"/>
      <c r="AV37" s="291"/>
      <c r="AW37" s="291"/>
      <c r="AX37" s="291"/>
      <c r="AY37" s="535"/>
      <c r="AZ37" s="311">
        <v>20</v>
      </c>
      <c r="BA37" s="540" t="s">
        <v>304</v>
      </c>
      <c r="BB37" s="119" t="s">
        <v>361</v>
      </c>
      <c r="BC37" s="121">
        <f>SUM(F15:F17)</f>
        <v>0</v>
      </c>
      <c r="BD37" s="121"/>
      <c r="BE37" s="84">
        <f>SUM(H15:H17)</f>
        <v>0</v>
      </c>
      <c r="BF37" s="119"/>
      <c r="BG37" s="119">
        <f>SUM(M15:M17)</f>
        <v>0</v>
      </c>
      <c r="BH37" s="121"/>
      <c r="BI37" s="121">
        <f>SUM(O15:O17)</f>
        <v>0</v>
      </c>
      <c r="BJ37" s="121"/>
      <c r="BK37" s="121">
        <f>SUM(Q15:Q17)</f>
        <v>0</v>
      </c>
      <c r="BL37" s="121"/>
      <c r="BM37" s="119">
        <f>SUM(P15:P17)</f>
        <v>0</v>
      </c>
      <c r="BN37" s="121"/>
      <c r="BO37" s="121">
        <f>SUM(R15:R17)</f>
        <v>0</v>
      </c>
      <c r="BP37" s="121"/>
      <c r="BQ37" s="121">
        <f>SUM(T15:T17)</f>
        <v>0</v>
      </c>
      <c r="BR37" s="121"/>
      <c r="BS37" s="121">
        <f>SUM(V15:V17)</f>
        <v>0</v>
      </c>
      <c r="BT37" s="121"/>
      <c r="BU37" s="84">
        <f>SUM(X15:X17)</f>
        <v>0</v>
      </c>
      <c r="BV37" s="119"/>
      <c r="BW37" s="119">
        <f>SUM(Z15:Z17)</f>
        <v>0</v>
      </c>
      <c r="BX37" s="121"/>
      <c r="BY37" s="121">
        <f>SUM(AB15:AB17)</f>
        <v>0</v>
      </c>
      <c r="BZ37" s="121"/>
      <c r="CA37" s="120">
        <f>SUM(AD15:AD17)</f>
        <v>0</v>
      </c>
      <c r="CB37" s="120"/>
      <c r="CC37" s="84">
        <f>SUM(AF15:AF17)</f>
        <v>0</v>
      </c>
      <c r="CD37" s="84"/>
      <c r="CE37" s="84">
        <f>SUM(AH15:AH17)</f>
        <v>0</v>
      </c>
      <c r="CF37" s="84"/>
      <c r="CG37" s="84">
        <f>SUM(AJ15:AJ17)</f>
        <v>0</v>
      </c>
      <c r="CH37" s="84"/>
      <c r="CI37" s="84">
        <f>SUM(AL15:AL17)</f>
        <v>0</v>
      </c>
      <c r="CJ37" s="121"/>
      <c r="CK37" s="121">
        <f>SUM(AN15:AN17)</f>
        <v>0</v>
      </c>
      <c r="CL37" s="121"/>
      <c r="CM37" s="84">
        <f>SUM(AP15:AP17)</f>
        <v>0</v>
      </c>
      <c r="CN37" s="121"/>
      <c r="CO37" s="121">
        <f>SUM(AR15:AR17)</f>
        <v>0</v>
      </c>
      <c r="CP37" s="121"/>
      <c r="CQ37" s="84">
        <f>SUM(AT15:AT17)</f>
        <v>0</v>
      </c>
      <c r="CR37" s="121"/>
      <c r="CS37" s="121">
        <f>SUM(AV15:AV17)</f>
        <v>0</v>
      </c>
      <c r="CT37" s="295"/>
      <c r="CU37" s="295"/>
      <c r="CV37" s="295"/>
      <c r="CW37" s="295"/>
      <c r="CX37" s="295"/>
      <c r="CY37" s="295"/>
      <c r="CZ37" s="295"/>
      <c r="DA37" s="295"/>
    </row>
    <row r="38" spans="1:105" ht="8.25" customHeight="1">
      <c r="A38" s="290"/>
      <c r="B38" s="290"/>
      <c r="C38" s="288"/>
      <c r="D38" s="54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535"/>
      <c r="AZ38" s="542"/>
      <c r="BA38" s="530"/>
      <c r="BB38" s="531"/>
      <c r="BC38" s="119"/>
      <c r="BD38" s="100"/>
      <c r="BE38" s="100"/>
      <c r="BF38" s="100"/>
      <c r="BG38" s="100"/>
      <c r="BH38" s="100"/>
      <c r="BI38" s="100"/>
      <c r="BJ38" s="100"/>
      <c r="BK38" s="100"/>
      <c r="BL38" s="100"/>
      <c r="BM38" s="100"/>
      <c r="BN38" s="100"/>
      <c r="BO38" s="100"/>
      <c r="BP38" s="100"/>
      <c r="BQ38" s="100"/>
      <c r="BR38" s="100"/>
      <c r="BS38" s="100"/>
      <c r="BT38" s="100"/>
      <c r="BU38" s="278"/>
      <c r="BV38" s="100"/>
      <c r="BW38" s="100"/>
      <c r="BX38" s="100"/>
      <c r="BY38" s="100"/>
      <c r="BZ38" s="100"/>
      <c r="CA38" s="100"/>
      <c r="CB38" s="100"/>
      <c r="CC38" s="270"/>
      <c r="CD38" s="278"/>
      <c r="CE38" s="278"/>
      <c r="CF38" s="278"/>
      <c r="CG38" s="278"/>
      <c r="CH38" s="278"/>
      <c r="CI38" s="278"/>
      <c r="CJ38" s="100"/>
      <c r="CK38" s="100"/>
      <c r="CL38" s="100"/>
      <c r="CM38" s="278"/>
      <c r="CN38" s="100"/>
      <c r="CO38" s="100"/>
      <c r="CP38" s="100"/>
      <c r="CQ38" s="278"/>
      <c r="CR38" s="100"/>
      <c r="CS38" s="100"/>
      <c r="CT38" s="295"/>
      <c r="CU38" s="295"/>
      <c r="CV38" s="295"/>
      <c r="CW38" s="295"/>
      <c r="CX38" s="295"/>
      <c r="CY38" s="295"/>
      <c r="CZ38" s="295"/>
      <c r="DA38" s="295"/>
    </row>
    <row r="39" spans="3:105" ht="11.25" customHeight="1">
      <c r="C39" s="410"/>
      <c r="D39" s="523" t="str">
        <f>D13&amp;" (W4,6)"</f>
        <v>Households (W4,6)</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490"/>
      <c r="AV39" s="490"/>
      <c r="AW39" s="490"/>
      <c r="AX39" s="490"/>
      <c r="AZ39" s="297" t="s">
        <v>203</v>
      </c>
      <c r="BA39" s="294" t="s">
        <v>305</v>
      </c>
      <c r="BB39" s="84"/>
      <c r="BC39" s="119" t="str">
        <f>IF(OR(ISBLANK(F14),ISBLANK(F15),ISBLANK(F16),ISBLANK(F17)),"N/A",IF((BC35=BC37),"ok","&lt;&gt;"))</f>
        <v>N/A</v>
      </c>
      <c r="BD39" s="121"/>
      <c r="BE39" s="121" t="str">
        <f>IF(OR(ISBLANK(H14),ISBLANK(H15),ISBLANK(H16),ISBLANK(H17)),"N/A",IF((BE35=BE37),"ok","&lt;&gt;"))</f>
        <v>N/A</v>
      </c>
      <c r="BF39" s="121"/>
      <c r="BG39" s="121" t="str">
        <f>IF(OR(ISBLANK(M14),ISBLANK(M15),ISBLANK(M16),ISBLANK(M17)),"N/A",IF((BG35=BG37),"ok","&lt;&gt;"))</f>
        <v>N/A</v>
      </c>
      <c r="BH39" s="121"/>
      <c r="BI39" s="121" t="str">
        <f>IF(OR(ISBLANK(O14),ISBLANK(O15),ISBLANK(O16),ISBLANK(O17)),"N/A",IF((BI35=BI37),"ok","&lt;&gt;"))</f>
        <v>N/A</v>
      </c>
      <c r="BJ39" s="121"/>
      <c r="BK39" s="121" t="str">
        <f>IF(OR(ISBLANK(Q14),ISBLANK(Q15),ISBLANK(Q16),ISBLANK(Q17)),"N/A",IF((BK35=BK37),"ok","&lt;&gt;"))</f>
        <v>N/A</v>
      </c>
      <c r="BL39" s="121"/>
      <c r="BM39" s="121" t="str">
        <f>IF(OR(ISBLANK(P14),ISBLANK(P15),ISBLANK(P16),ISBLANK(P17)),"N/A",IF((BM35=BM37),"ok","&lt;&gt;"))</f>
        <v>N/A</v>
      </c>
      <c r="BN39" s="121"/>
      <c r="BO39" s="121" t="str">
        <f>IF(OR(ISBLANK(R14),ISBLANK(R15),ISBLANK(R16),ISBLANK(R17)),"N/A",IF((BO35=BO37),"ok","&lt;&gt;"))</f>
        <v>N/A</v>
      </c>
      <c r="BP39" s="121"/>
      <c r="BQ39" s="121" t="str">
        <f>IF(OR(ISBLANK(T14),ISBLANK(T15),ISBLANK(T16),ISBLANK(T17)),"N/A",IF((BQ35=BQ37),"ok","&lt;&gt;"))</f>
        <v>N/A</v>
      </c>
      <c r="BR39" s="121"/>
      <c r="BS39" s="121" t="str">
        <f>IF(OR(ISBLANK(V14),ISBLANK(V15),ISBLANK(V16),ISBLANK(V17)),"N/A",IF((BS35=BS37),"ok","&lt;&gt;"))</f>
        <v>N/A</v>
      </c>
      <c r="BT39" s="121"/>
      <c r="BU39" s="84" t="str">
        <f>IF(OR(ISBLANK(X14),ISBLANK(X15),ISBLANK(X16),ISBLANK(X17)),"N/A",IF((BU35=BU37),"ok","&lt;&gt;"))</f>
        <v>N/A</v>
      </c>
      <c r="BV39" s="119"/>
      <c r="BW39" s="119" t="str">
        <f>IF(OR(ISBLANK(Z14),ISBLANK(Z15),ISBLANK(Z16),ISBLANK(Z17)),"N/A",IF((BW35=BW37),"ok","&lt;&gt;"))</f>
        <v>N/A</v>
      </c>
      <c r="BX39" s="121"/>
      <c r="BY39" s="121" t="str">
        <f>IF(OR(ISBLANK(AB14),ISBLANK(AB15),ISBLANK(AB16),ISBLANK(AB17)),"N/A",IF((BY35=BY37),"ok","&lt;&gt;"))</f>
        <v>N/A</v>
      </c>
      <c r="BZ39" s="121"/>
      <c r="CA39" s="121" t="str">
        <f>IF(OR(ISBLANK(AD14),ISBLANK(AD15),ISBLANK(AD16),ISBLANK(AD17)),"N/A",IF((CA35=CA37),"ok","&lt;&gt;"))</f>
        <v>N/A</v>
      </c>
      <c r="CB39" s="121"/>
      <c r="CC39" s="84" t="str">
        <f>IF(OR(ISBLANK(AF14),ISBLANK(AF15),ISBLANK(AF16),ISBLANK(AF17)),"N/A",IF((CC35=CC37),"ok","&lt;&gt;"))</f>
        <v>N/A</v>
      </c>
      <c r="CD39" s="84"/>
      <c r="CE39" s="84" t="str">
        <f>IF(OR(ISBLANK(AH14),ISBLANK(AH15),ISBLANK(AH16),ISBLANK(AH17)),"N/A",IF((CE35=CE37),"ok","&lt;&gt;"))</f>
        <v>N/A</v>
      </c>
      <c r="CF39" s="84"/>
      <c r="CG39" s="84" t="str">
        <f>IF(OR(ISBLANK(AJ14),ISBLANK(AJ15),ISBLANK(AJ16),ISBLANK(AJ17)),"N/A",IF((CG35=CG37),"ok","&lt;&gt;"))</f>
        <v>N/A</v>
      </c>
      <c r="CH39" s="84"/>
      <c r="CI39" s="84" t="str">
        <f>IF(OR(ISBLANK(AL14),ISBLANK(AL15),ISBLANK(AL16),ISBLANK(AL17)),"N/A",IF((CI35=CI37),"ok","&lt;&gt;"))</f>
        <v>N/A</v>
      </c>
      <c r="CJ39" s="121"/>
      <c r="CK39" s="121" t="str">
        <f>IF(OR(ISBLANK(AN14),ISBLANK(AN15),ISBLANK(AN16),ISBLANK(AN17)),"N/A",IF((CK35=CK37),"ok","&lt;&gt;"))</f>
        <v>N/A</v>
      </c>
      <c r="CL39" s="121"/>
      <c r="CM39" s="84" t="str">
        <f>IF(OR(ISBLANK(AP14),ISBLANK(AP15),ISBLANK(AP16),ISBLANK(AP17)),"N/A",IF((CM35=CM37),"ok","&lt;&gt;"))</f>
        <v>N/A</v>
      </c>
      <c r="CN39" s="121"/>
      <c r="CO39" s="121" t="str">
        <f>IF(OR(ISBLANK(AR14),ISBLANK(AR15),ISBLANK(AR16),ISBLANK(AR17)),"N/A",IF((CO35=CO37),"ok","&lt;&gt;"))</f>
        <v>N/A</v>
      </c>
      <c r="CP39" s="121"/>
      <c r="CQ39" s="84" t="str">
        <f>IF(OR(ISBLANK(AT14),ISBLANK(AT15),ISBLANK(AT16),ISBLANK(AT17)),"N/A",IF((CQ35=CQ37),"ok","&lt;&gt;"))</f>
        <v>N/A</v>
      </c>
      <c r="CR39" s="121"/>
      <c r="CS39" s="121" t="str">
        <f>IF(OR(ISBLANK(AV14),ISBLANK(AV15),ISBLANK(AV16),ISBLANK(AV17)),"N/A",IF((CS35=CS37),"ok","&lt;&gt;"))</f>
        <v>N/A</v>
      </c>
      <c r="CT39" s="295"/>
      <c r="CU39" s="295"/>
      <c r="CV39" s="295"/>
      <c r="CW39" s="295"/>
      <c r="CX39" s="295"/>
      <c r="CY39" s="295"/>
      <c r="CZ39" s="295"/>
      <c r="DA39" s="295"/>
    </row>
    <row r="40" spans="3:105" ht="13.5" customHeight="1">
      <c r="C40" s="410"/>
      <c r="D40" s="51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490"/>
      <c r="AV40" s="490"/>
      <c r="AW40" s="490"/>
      <c r="AX40" s="490"/>
      <c r="AZ40" s="543"/>
      <c r="BA40" s="531"/>
      <c r="BB40" s="531"/>
      <c r="BC40" s="119"/>
      <c r="BD40" s="121"/>
      <c r="BE40" s="121"/>
      <c r="BF40" s="100"/>
      <c r="BG40" s="100"/>
      <c r="BH40" s="100"/>
      <c r="BI40" s="100"/>
      <c r="BJ40" s="100"/>
      <c r="BK40" s="100"/>
      <c r="BL40" s="100"/>
      <c r="BM40" s="100"/>
      <c r="BN40" s="100"/>
      <c r="BO40" s="100"/>
      <c r="BP40" s="100"/>
      <c r="BQ40" s="100"/>
      <c r="BR40" s="100"/>
      <c r="BS40" s="100"/>
      <c r="BT40" s="100"/>
      <c r="BU40" s="278"/>
      <c r="BV40" s="100"/>
      <c r="BW40" s="100"/>
      <c r="BX40" s="100"/>
      <c r="BY40" s="100"/>
      <c r="BZ40" s="100"/>
      <c r="CA40" s="532"/>
      <c r="CB40" s="538"/>
      <c r="CC40" s="278"/>
      <c r="CD40" s="278"/>
      <c r="CE40" s="278"/>
      <c r="CF40" s="278"/>
      <c r="CG40" s="278"/>
      <c r="CH40" s="278"/>
      <c r="CI40" s="278"/>
      <c r="CJ40" s="100"/>
      <c r="CK40" s="100"/>
      <c r="CL40" s="100"/>
      <c r="CM40" s="278"/>
      <c r="CN40" s="662"/>
      <c r="CO40" s="534"/>
      <c r="CP40" s="662"/>
      <c r="CQ40" s="278"/>
      <c r="CR40" s="100"/>
      <c r="CS40" s="544"/>
      <c r="CT40" s="295"/>
      <c r="CU40" s="295"/>
      <c r="CV40" s="295"/>
      <c r="CW40" s="295"/>
      <c r="CX40" s="295"/>
      <c r="CY40" s="295"/>
      <c r="CZ40" s="295"/>
      <c r="DA40" s="295"/>
    </row>
    <row r="41" spans="1:105" ht="14.25" customHeight="1">
      <c r="A41" s="444"/>
      <c r="B41" s="431">
        <v>1</v>
      </c>
      <c r="C41" s="313" t="s">
        <v>359</v>
      </c>
      <c r="D41" s="411"/>
      <c r="E41" s="313"/>
      <c r="F41" s="222"/>
      <c r="G41" s="222"/>
      <c r="H41" s="316"/>
      <c r="I41" s="317"/>
      <c r="J41" s="318"/>
      <c r="K41" s="317"/>
      <c r="L41" s="318"/>
      <c r="M41" s="317"/>
      <c r="N41" s="318"/>
      <c r="O41" s="317"/>
      <c r="P41" s="318"/>
      <c r="Q41" s="317"/>
      <c r="R41" s="318"/>
      <c r="S41" s="317"/>
      <c r="T41" s="318"/>
      <c r="U41" s="317"/>
      <c r="V41" s="318"/>
      <c r="W41" s="317"/>
      <c r="X41" s="316"/>
      <c r="Y41" s="317"/>
      <c r="Z41" s="316"/>
      <c r="AA41" s="317"/>
      <c r="AB41" s="316"/>
      <c r="AC41" s="317"/>
      <c r="AD41" s="316"/>
      <c r="AE41" s="317"/>
      <c r="AF41" s="316"/>
      <c r="AG41" s="412"/>
      <c r="AH41" s="316"/>
      <c r="AI41" s="317"/>
      <c r="AJ41" s="318"/>
      <c r="AK41" s="317"/>
      <c r="AL41" s="316"/>
      <c r="AM41" s="317"/>
      <c r="AN41" s="316"/>
      <c r="AO41" s="317"/>
      <c r="AP41" s="317"/>
      <c r="AQ41" s="317"/>
      <c r="AR41" s="317"/>
      <c r="AS41" s="317"/>
      <c r="AT41" s="368"/>
      <c r="AU41" s="367"/>
      <c r="AV41" s="368"/>
      <c r="AW41" s="367"/>
      <c r="AX41" s="451"/>
      <c r="AY41" s="492"/>
      <c r="AZ41" s="84">
        <v>11</v>
      </c>
      <c r="BA41" s="258" t="s">
        <v>107</v>
      </c>
      <c r="BB41" s="119" t="s">
        <v>361</v>
      </c>
      <c r="BC41" s="121">
        <f>F18</f>
        <v>0</v>
      </c>
      <c r="BD41" s="121"/>
      <c r="BE41" s="120">
        <f>H18</f>
        <v>0</v>
      </c>
      <c r="BF41" s="121"/>
      <c r="BG41" s="121">
        <f>M18</f>
        <v>0</v>
      </c>
      <c r="BH41" s="121"/>
      <c r="BI41" s="121">
        <f>O18</f>
        <v>0</v>
      </c>
      <c r="BJ41" s="121"/>
      <c r="BK41" s="121">
        <f>Q18</f>
        <v>0</v>
      </c>
      <c r="BL41" s="121"/>
      <c r="BM41" s="121">
        <f>P18</f>
        <v>0</v>
      </c>
      <c r="BN41" s="121"/>
      <c r="BO41" s="121">
        <f>R18</f>
        <v>0</v>
      </c>
      <c r="BP41" s="121"/>
      <c r="BQ41" s="121">
        <f>T18</f>
        <v>0</v>
      </c>
      <c r="BR41" s="121"/>
      <c r="BS41" s="121">
        <f>V18</f>
        <v>0</v>
      </c>
      <c r="BT41" s="121"/>
      <c r="BU41" s="84">
        <f>X18</f>
        <v>0</v>
      </c>
      <c r="BV41" s="119"/>
      <c r="BW41" s="119">
        <f>Z18</f>
        <v>0</v>
      </c>
      <c r="BX41" s="121"/>
      <c r="BY41" s="121">
        <f>AB18</f>
        <v>0</v>
      </c>
      <c r="BZ41" s="121"/>
      <c r="CA41" s="119">
        <f>AD18</f>
        <v>0</v>
      </c>
      <c r="CB41" s="119"/>
      <c r="CC41" s="84">
        <f>AF18</f>
        <v>0</v>
      </c>
      <c r="CD41" s="84"/>
      <c r="CE41" s="84">
        <f>AH18</f>
        <v>0</v>
      </c>
      <c r="CF41" s="84"/>
      <c r="CG41" s="84">
        <f>AJ18</f>
        <v>0</v>
      </c>
      <c r="CH41" s="84"/>
      <c r="CI41" s="84">
        <f>AL18</f>
        <v>0</v>
      </c>
      <c r="CJ41" s="121"/>
      <c r="CK41" s="121">
        <f>AN18</f>
        <v>0</v>
      </c>
      <c r="CL41" s="121"/>
      <c r="CM41" s="84">
        <f>AP18</f>
        <v>0</v>
      </c>
      <c r="CN41" s="120"/>
      <c r="CO41" s="120">
        <f>AR18</f>
        <v>0</v>
      </c>
      <c r="CP41" s="120"/>
      <c r="CQ41" s="84">
        <f>AT18</f>
        <v>0</v>
      </c>
      <c r="CR41" s="121"/>
      <c r="CS41" s="121">
        <f>AV18</f>
        <v>0</v>
      </c>
      <c r="CT41" s="295"/>
      <c r="CU41" s="295"/>
      <c r="CV41" s="295"/>
      <c r="CW41" s="295"/>
      <c r="CX41" s="295"/>
      <c r="CY41" s="295"/>
      <c r="CZ41" s="295"/>
      <c r="DA41" s="295"/>
    </row>
    <row r="42" spans="1:97" s="211" customFormat="1" ht="11.25" customHeight="1">
      <c r="A42" s="189"/>
      <c r="B42" s="190"/>
      <c r="C42" s="413"/>
      <c r="D42" s="413"/>
      <c r="E42" s="414"/>
      <c r="F42" s="354"/>
      <c r="G42" s="354"/>
      <c r="H42" s="350"/>
      <c r="I42" s="351"/>
      <c r="J42" s="352"/>
      <c r="K42" s="351"/>
      <c r="L42" s="352"/>
      <c r="M42" s="351"/>
      <c r="N42" s="352"/>
      <c r="O42" s="351"/>
      <c r="P42" s="352"/>
      <c r="Q42" s="351"/>
      <c r="R42" s="352"/>
      <c r="S42" s="351"/>
      <c r="T42" s="352"/>
      <c r="U42" s="351"/>
      <c r="V42" s="352"/>
      <c r="W42" s="351"/>
      <c r="X42" s="350"/>
      <c r="Y42" s="351"/>
      <c r="Z42" s="350"/>
      <c r="AA42" s="351"/>
      <c r="AB42" s="350"/>
      <c r="AC42" s="351"/>
      <c r="AD42" s="350"/>
      <c r="AE42" s="351"/>
      <c r="AF42" s="350"/>
      <c r="AG42" s="415"/>
      <c r="AH42" s="350"/>
      <c r="AI42" s="351"/>
      <c r="AJ42" s="352"/>
      <c r="AK42" s="351"/>
      <c r="AL42" s="350"/>
      <c r="AM42" s="353"/>
      <c r="AN42" s="348"/>
      <c r="AO42" s="353"/>
      <c r="AP42" s="353"/>
      <c r="AQ42" s="353"/>
      <c r="AR42" s="353"/>
      <c r="AS42" s="353"/>
      <c r="AT42" s="230"/>
      <c r="AU42" s="231"/>
      <c r="AV42" s="230"/>
      <c r="AW42" s="231"/>
      <c r="AX42" s="202"/>
      <c r="AY42" s="200"/>
      <c r="AZ42" s="545"/>
      <c r="BA42" s="546"/>
      <c r="BB42" s="547"/>
      <c r="BC42" s="548"/>
      <c r="BD42" s="548"/>
      <c r="BE42" s="548"/>
      <c r="BF42" s="548"/>
      <c r="BG42" s="548"/>
      <c r="BH42" s="548"/>
      <c r="BI42" s="548"/>
      <c r="BJ42" s="548"/>
      <c r="BK42" s="84"/>
      <c r="BL42" s="548"/>
      <c r="BM42" s="548"/>
      <c r="BN42" s="548"/>
      <c r="BO42" s="548"/>
      <c r="BP42" s="548"/>
      <c r="BQ42" s="84"/>
      <c r="BR42" s="548"/>
      <c r="BS42" s="548"/>
      <c r="BT42" s="548"/>
      <c r="BU42" s="101"/>
      <c r="BV42" s="549"/>
      <c r="BW42" s="549"/>
      <c r="BX42" s="100"/>
      <c r="BY42" s="100"/>
      <c r="BZ42" s="100"/>
      <c r="CA42" s="538"/>
      <c r="CB42" s="538"/>
      <c r="CC42" s="278"/>
      <c r="CD42" s="278"/>
      <c r="CE42" s="101"/>
      <c r="CF42" s="100"/>
      <c r="CG42" s="100"/>
      <c r="CH42" s="100"/>
      <c r="CI42" s="101"/>
      <c r="CJ42" s="100"/>
      <c r="CK42" s="100"/>
      <c r="CL42" s="100"/>
      <c r="CM42" s="278"/>
      <c r="CN42" s="278"/>
      <c r="CO42" s="278"/>
      <c r="CP42" s="278"/>
      <c r="CQ42" s="101"/>
      <c r="CR42" s="100"/>
      <c r="CS42" s="544"/>
    </row>
    <row r="43" spans="1:97" s="211" customFormat="1" ht="11.25" customHeight="1">
      <c r="A43" s="189"/>
      <c r="B43" s="190"/>
      <c r="C43" s="324" t="s">
        <v>354</v>
      </c>
      <c r="D43" s="416" t="s">
        <v>357</v>
      </c>
      <c r="E43" s="416"/>
      <c r="F43" s="417"/>
      <c r="G43" s="417"/>
      <c r="H43" s="418"/>
      <c r="I43" s="419"/>
      <c r="J43" s="420"/>
      <c r="K43" s="419"/>
      <c r="L43" s="420"/>
      <c r="M43" s="419"/>
      <c r="N43" s="420"/>
      <c r="O43" s="419"/>
      <c r="P43" s="420"/>
      <c r="Q43" s="419"/>
      <c r="R43" s="420"/>
      <c r="S43" s="419"/>
      <c r="T43" s="420"/>
      <c r="U43" s="419"/>
      <c r="V43" s="420"/>
      <c r="W43" s="419"/>
      <c r="X43" s="418"/>
      <c r="Y43" s="419"/>
      <c r="Z43" s="418"/>
      <c r="AA43" s="419"/>
      <c r="AB43" s="418"/>
      <c r="AC43" s="419"/>
      <c r="AD43" s="418"/>
      <c r="AE43" s="419"/>
      <c r="AF43" s="418"/>
      <c r="AG43" s="421"/>
      <c r="AH43" s="418"/>
      <c r="AI43" s="419"/>
      <c r="AJ43" s="420"/>
      <c r="AK43" s="419"/>
      <c r="AL43" s="418"/>
      <c r="AM43" s="419"/>
      <c r="AN43" s="418"/>
      <c r="AO43" s="419"/>
      <c r="AP43" s="419"/>
      <c r="AQ43" s="419"/>
      <c r="AR43" s="419"/>
      <c r="AS43" s="419"/>
      <c r="AT43" s="418"/>
      <c r="AU43" s="419"/>
      <c r="AV43" s="418"/>
      <c r="AW43" s="419"/>
      <c r="AX43" s="495"/>
      <c r="AY43" s="200"/>
      <c r="AZ43" s="311">
        <v>21</v>
      </c>
      <c r="BA43" s="294" t="s">
        <v>306</v>
      </c>
      <c r="BB43" s="84" t="s">
        <v>361</v>
      </c>
      <c r="BC43" s="119">
        <f>SUM(F19:F21)</f>
        <v>0</v>
      </c>
      <c r="BD43" s="119"/>
      <c r="BE43" s="84">
        <f>SUM(H19:H21)</f>
        <v>0</v>
      </c>
      <c r="BF43" s="120"/>
      <c r="BG43" s="120">
        <f>SUM(M19:M21)</f>
        <v>0</v>
      </c>
      <c r="BH43" s="121"/>
      <c r="BI43" s="121">
        <f>SUM(O19:O21)</f>
        <v>0</v>
      </c>
      <c r="BJ43" s="121"/>
      <c r="BK43" s="84">
        <f>SUM(Q19:Q21)</f>
        <v>0</v>
      </c>
      <c r="BL43" s="120"/>
      <c r="BM43" s="120">
        <f>SUM(P19:P21)</f>
        <v>0</v>
      </c>
      <c r="BN43" s="121"/>
      <c r="BO43" s="121">
        <f>SUM(R19:R21)</f>
        <v>0</v>
      </c>
      <c r="BP43" s="121"/>
      <c r="BQ43" s="84">
        <f>SUM(T19:T21)</f>
        <v>0</v>
      </c>
      <c r="BR43" s="119"/>
      <c r="BS43" s="119">
        <f>SUM(V19:V21)</f>
        <v>0</v>
      </c>
      <c r="BT43" s="119"/>
      <c r="BU43" s="84">
        <f>SUM(X19:X21)</f>
        <v>0</v>
      </c>
      <c r="BV43" s="119"/>
      <c r="BW43" s="119">
        <f>SUM(Z19:Z21)</f>
        <v>0</v>
      </c>
      <c r="BX43" s="121"/>
      <c r="BY43" s="120">
        <f>SUM(AB19:AB21)</f>
        <v>0</v>
      </c>
      <c r="BZ43" s="120"/>
      <c r="CA43" s="84">
        <f>SUM(AD19:AD21)</f>
        <v>0</v>
      </c>
      <c r="CB43" s="84"/>
      <c r="CC43" s="84">
        <f>SUM(AF19:AF21)</f>
        <v>0</v>
      </c>
      <c r="CD43" s="119"/>
      <c r="CE43" s="119">
        <f>SUM(AH19:AH21)</f>
        <v>0</v>
      </c>
      <c r="CF43" s="119"/>
      <c r="CG43" s="119">
        <f>SUM(AJ19:AJ21)</f>
        <v>0</v>
      </c>
      <c r="CH43" s="119"/>
      <c r="CI43" s="84">
        <f>SUM(AL19:AL21)</f>
        <v>0</v>
      </c>
      <c r="CJ43" s="121"/>
      <c r="CK43" s="121">
        <f>SUM(AN19:AN21)</f>
        <v>0</v>
      </c>
      <c r="CL43" s="121"/>
      <c r="CM43" s="84">
        <f>SUM(AP19:AP21)</f>
        <v>0</v>
      </c>
      <c r="CN43" s="84"/>
      <c r="CO43" s="84">
        <f>SUM(AR19:AR21)</f>
        <v>0</v>
      </c>
      <c r="CP43" s="119"/>
      <c r="CQ43" s="119">
        <f>SUM(AT19:AT21)</f>
        <v>0</v>
      </c>
      <c r="CR43" s="119"/>
      <c r="CS43" s="119">
        <f>SUM(AV19:AV21)</f>
        <v>0</v>
      </c>
    </row>
    <row r="44" spans="1:97" s="445" customFormat="1" ht="18" customHeight="1">
      <c r="A44" s="189"/>
      <c r="B44" s="190"/>
      <c r="C44" s="569"/>
      <c r="D44" s="741"/>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3"/>
      <c r="AY44" s="200"/>
      <c r="AZ44" s="325" t="s">
        <v>203</v>
      </c>
      <c r="BA44" s="326" t="s">
        <v>227</v>
      </c>
      <c r="BB44" s="99"/>
      <c r="BC44" s="550" t="str">
        <f>IF(OR(ISBLANK(F18),ISBLANK(F19),ISBLANK(F20),ISBLANK(F21)),"N/A",IF((BC41=BC43),"ok","&lt;&gt;"))</f>
        <v>N/A</v>
      </c>
      <c r="BD44" s="550"/>
      <c r="BE44" s="99" t="str">
        <f>IF(OR(ISBLANK(H18),ISBLANK(H19),ISBLANK(H20),ISBLANK(H21)),"N/A",IF((BE41=BE43),"ok","&lt;&gt;"))</f>
        <v>N/A</v>
      </c>
      <c r="BF44" s="551"/>
      <c r="BG44" s="551" t="str">
        <f>IF(OR(ISBLANK(M18),ISBLANK(M19),ISBLANK(M20),ISBLANK(M21)),"N/A",IF((BG41=BG43),"ok","&lt;&gt;"))</f>
        <v>N/A</v>
      </c>
      <c r="BH44" s="551"/>
      <c r="BI44" s="551" t="str">
        <f>IF(OR(ISBLANK(O18),ISBLANK(O19),ISBLANK(O20),ISBLANK(O21)),"N/A",IF((BI41=BI43),"ok","&lt;&gt;"))</f>
        <v>N/A</v>
      </c>
      <c r="BJ44" s="516"/>
      <c r="BK44" s="516" t="str">
        <f>IF(OR(ISBLANK(Q18),ISBLANK(Q19),ISBLANK(Q20),ISBLANK(Q21)),"N/A",IF((BK41=BK43),"ok","&lt;&gt;"))</f>
        <v>N/A</v>
      </c>
      <c r="BL44" s="516"/>
      <c r="BM44" s="551" t="str">
        <f>IF(OR(ISBLANK(P18),ISBLANK(P19),ISBLANK(P20),ISBLANK(P21)),"N/A",IF((BM41=BM43),"ok","&lt;&gt;"))</f>
        <v>N/A</v>
      </c>
      <c r="BN44" s="551"/>
      <c r="BO44" s="551" t="str">
        <f>IF(OR(ISBLANK(R18),ISBLANK(R19),ISBLANK(R20),ISBLANK(R21)),"N/A",IF((BO41=BO43),"ok","&lt;&gt;"))</f>
        <v>N/A</v>
      </c>
      <c r="BP44" s="516"/>
      <c r="BQ44" s="516" t="str">
        <f>IF(OR(ISBLANK(T18),ISBLANK(T19),ISBLANK(T20),ISBLANK(T21)),"N/A",IF((BQ41=BQ43),"ok","&lt;&gt;"))</f>
        <v>N/A</v>
      </c>
      <c r="BR44" s="516"/>
      <c r="BS44" s="516" t="str">
        <f>IF(OR(ISBLANK(V18),ISBLANK(V19),ISBLANK(V20),ISBLANK(V21)),"N/A",IF((BS41=BS43),"ok","&lt;&gt;"))</f>
        <v>N/A</v>
      </c>
      <c r="BT44" s="516"/>
      <c r="BU44" s="516" t="str">
        <f>IF(OR(ISBLANK(X18),ISBLANK(X19),ISBLANK(X20),ISBLANK(X21)),"N/A",IF((BU41=BU43),"ok","&lt;&gt;"))</f>
        <v>N/A</v>
      </c>
      <c r="BV44" s="516"/>
      <c r="BW44" s="551" t="str">
        <f>IF(OR(ISBLANK(Z18),ISBLANK(Z19),ISBLANK(Z20),ISBLANK(Z21)),"N/A",IF((BW41=BW43),"ok","&lt;&gt;"))</f>
        <v>N/A</v>
      </c>
      <c r="BX44" s="516"/>
      <c r="BY44" s="516" t="str">
        <f>IF(OR(ISBLANK(AB18),ISBLANK(AB19),ISBLANK(AB20),ISBLANK(AB21)),"N/A",IF((BY41=BY43),"ok","&lt;&gt;"))</f>
        <v>N/A</v>
      </c>
      <c r="BZ44" s="516"/>
      <c r="CA44" s="99" t="str">
        <f>IF(OR(ISBLANK(AD18),ISBLANK(AD19),ISBLANK(AD20),ISBLANK(AD21)),"N/A",IF((CA41=CA43),"ok","&lt;&gt;"))</f>
        <v>N/A</v>
      </c>
      <c r="CB44" s="99"/>
      <c r="CC44" s="99" t="str">
        <f>IF(OR(ISBLANK(AF18),ISBLANK(AF19),ISBLANK(AF20),ISBLANK(AF21)),"N/A",IF((CC41=CC43),"ok","&lt;&gt;"))</f>
        <v>N/A</v>
      </c>
      <c r="CD44" s="551"/>
      <c r="CE44" s="551" t="str">
        <f>IF(OR(ISBLANK(AH18),ISBLANK(AH19),ISBLANK(AH20),ISBLANK(AH21)),"N/A",IF((CE41=CE43),"ok","&lt;&gt;"))</f>
        <v>N/A</v>
      </c>
      <c r="CF44" s="551"/>
      <c r="CG44" s="551" t="str">
        <f>IF(OR(ISBLANK(AJ18),ISBLANK(AJ19),ISBLANK(AJ20),ISBLANK(AJ21)),"N/A",IF((CG41=CG43),"ok","&lt;&gt;"))</f>
        <v>N/A</v>
      </c>
      <c r="CH44" s="551"/>
      <c r="CI44" s="551" t="str">
        <f>IF(OR(ISBLANK(AL18),ISBLANK(AL19),ISBLANK(AL20),ISBLANK(AL21)),"N/A",IF((CI41=CI43),"ok","&lt;&gt;"))</f>
        <v>N/A</v>
      </c>
      <c r="CJ44" s="551"/>
      <c r="CK44" s="551" t="str">
        <f>IF(OR(ISBLANK(AN18),ISBLANK(AN19),ISBLANK(AN20),ISBLANK(AN21)),"N/A",IF((CK41=CK43),"ok","&lt;&gt;"))</f>
        <v>N/A</v>
      </c>
      <c r="CL44" s="551"/>
      <c r="CM44" s="551" t="str">
        <f>IF(OR(ISBLANK(AP18),ISBLANK(AP19),ISBLANK(AP20),ISBLANK(AP21)),"N/A",IF((CM41=CM43),"ok","&lt;&gt;"))</f>
        <v>N/A</v>
      </c>
      <c r="CN44" s="551"/>
      <c r="CO44" s="551" t="str">
        <f>IF(OR(ISBLANK(AR18),ISBLANK(AR19),ISBLANK(AR20),ISBLANK(AR21)),"N/A",IF((CO41=CO43),"ok","&lt;&gt;"))</f>
        <v>N/A</v>
      </c>
      <c r="CP44" s="551"/>
      <c r="CQ44" s="551" t="str">
        <f>IF(OR(ISBLANK(AT18),ISBLANK(AT19),ISBLANK(AT20),ISBLANK(AT21)),"N/A",IF((CQ41=CQ43),"ok","&lt;&gt;"))</f>
        <v>N/A</v>
      </c>
      <c r="CR44" s="551"/>
      <c r="CS44" s="99" t="str">
        <f>IF(OR(ISBLANK(AV18),ISBLANK(AV19),ISBLANK(AV20),ISBLANK(AV21)),"N/A",IF((CS41=CS43),"ok","&lt;&gt;"))</f>
        <v>N/A</v>
      </c>
    </row>
    <row r="45" spans="3:97" ht="18" customHeight="1">
      <c r="C45" s="569"/>
      <c r="D45" s="759"/>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1"/>
      <c r="AZ45" s="327" t="s">
        <v>66</v>
      </c>
      <c r="BA45" s="328" t="s">
        <v>67</v>
      </c>
      <c r="BB45" s="290"/>
      <c r="BC45" s="552"/>
      <c r="BD45" s="552"/>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553"/>
      <c r="CD45" s="552"/>
      <c r="CE45" s="290"/>
      <c r="CF45" s="290"/>
      <c r="CG45" s="290"/>
      <c r="CH45" s="290"/>
      <c r="CI45" s="290"/>
      <c r="CJ45" s="290"/>
      <c r="CK45" s="290"/>
      <c r="CL45" s="290"/>
      <c r="CM45" s="290"/>
      <c r="CN45" s="290"/>
      <c r="CO45" s="290"/>
      <c r="CP45" s="290"/>
      <c r="CQ45" s="290"/>
      <c r="CR45" s="290"/>
      <c r="CS45" s="290"/>
    </row>
    <row r="46" spans="3:97" ht="18" customHeight="1">
      <c r="C46" s="569"/>
      <c r="D46" s="759"/>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1"/>
      <c r="AZ46" s="327" t="s">
        <v>68</v>
      </c>
      <c r="BA46" s="328" t="s">
        <v>69</v>
      </c>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row>
    <row r="47" spans="3:97" ht="18" customHeight="1">
      <c r="C47" s="569"/>
      <c r="D47" s="759"/>
      <c r="E47" s="760"/>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1"/>
      <c r="AZ47" s="329" t="s">
        <v>71</v>
      </c>
      <c r="BA47" s="328" t="s">
        <v>73</v>
      </c>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row>
    <row r="48" spans="3:97" ht="18" customHeight="1">
      <c r="C48" s="569"/>
      <c r="D48" s="759"/>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1"/>
      <c r="AZ48" s="329" t="s">
        <v>70</v>
      </c>
      <c r="BA48" s="328" t="s">
        <v>14</v>
      </c>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row>
    <row r="49" spans="3:50" ht="18" customHeight="1">
      <c r="C49" s="569"/>
      <c r="D49" s="759"/>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1"/>
    </row>
    <row r="50" spans="3:50" ht="18" customHeight="1">
      <c r="C50" s="569"/>
      <c r="D50" s="759"/>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1"/>
    </row>
    <row r="51" spans="3:50" ht="18" customHeight="1">
      <c r="C51" s="569"/>
      <c r="D51" s="759"/>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3:50" ht="18" customHeight="1">
      <c r="C52" s="569"/>
      <c r="D52" s="759"/>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1"/>
    </row>
    <row r="53" spans="3:50" ht="18" customHeight="1">
      <c r="C53" s="569"/>
      <c r="D53" s="759"/>
      <c r="E53" s="760"/>
      <c r="F53" s="760"/>
      <c r="G53" s="760"/>
      <c r="H53" s="760"/>
      <c r="I53" s="760"/>
      <c r="J53" s="760"/>
      <c r="K53" s="760"/>
      <c r="L53" s="760"/>
      <c r="M53" s="760"/>
      <c r="N53" s="760"/>
      <c r="O53" s="760"/>
      <c r="P53" s="760"/>
      <c r="Q53" s="760"/>
      <c r="R53" s="760"/>
      <c r="S53" s="760"/>
      <c r="T53" s="760"/>
      <c r="U53" s="760"/>
      <c r="V53" s="760"/>
      <c r="W53" s="760"/>
      <c r="X53" s="760"/>
      <c r="Y53" s="760"/>
      <c r="Z53" s="760"/>
      <c r="AA53" s="760"/>
      <c r="AB53" s="760"/>
      <c r="AC53" s="760"/>
      <c r="AD53" s="760"/>
      <c r="AE53" s="760"/>
      <c r="AF53" s="760"/>
      <c r="AG53" s="760"/>
      <c r="AH53" s="760"/>
      <c r="AI53" s="760"/>
      <c r="AJ53" s="760"/>
      <c r="AK53" s="760"/>
      <c r="AL53" s="760"/>
      <c r="AM53" s="760"/>
      <c r="AN53" s="760"/>
      <c r="AO53" s="760"/>
      <c r="AP53" s="760"/>
      <c r="AQ53" s="760"/>
      <c r="AR53" s="760"/>
      <c r="AS53" s="760"/>
      <c r="AT53" s="760"/>
      <c r="AU53" s="760"/>
      <c r="AV53" s="760"/>
      <c r="AW53" s="760"/>
      <c r="AX53" s="761"/>
    </row>
    <row r="54" spans="3:50" ht="18" customHeight="1">
      <c r="C54" s="569"/>
      <c r="D54" s="759"/>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1"/>
    </row>
    <row r="55" spans="3:50" ht="18" customHeight="1">
      <c r="C55" s="569"/>
      <c r="D55" s="759"/>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1"/>
    </row>
    <row r="56" spans="3:50" ht="18" customHeight="1">
      <c r="C56" s="569"/>
      <c r="D56" s="759"/>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1"/>
    </row>
    <row r="57" spans="3:50" ht="18" customHeight="1">
      <c r="C57" s="569"/>
      <c r="D57" s="759"/>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1"/>
    </row>
    <row r="58" spans="3:50" ht="18" customHeight="1">
      <c r="C58" s="569"/>
      <c r="D58" s="759"/>
      <c r="E58" s="760"/>
      <c r="F58" s="760"/>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760"/>
      <c r="AJ58" s="760"/>
      <c r="AK58" s="760"/>
      <c r="AL58" s="760"/>
      <c r="AM58" s="760"/>
      <c r="AN58" s="760"/>
      <c r="AO58" s="760"/>
      <c r="AP58" s="760"/>
      <c r="AQ58" s="760"/>
      <c r="AR58" s="760"/>
      <c r="AS58" s="760"/>
      <c r="AT58" s="760"/>
      <c r="AU58" s="760"/>
      <c r="AV58" s="760"/>
      <c r="AW58" s="760"/>
      <c r="AX58" s="761"/>
    </row>
    <row r="59" spans="3:50" ht="18" customHeight="1">
      <c r="C59" s="569"/>
      <c r="D59" s="759"/>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0"/>
      <c r="AK59" s="760"/>
      <c r="AL59" s="760"/>
      <c r="AM59" s="760"/>
      <c r="AN59" s="760"/>
      <c r="AO59" s="760"/>
      <c r="AP59" s="760"/>
      <c r="AQ59" s="760"/>
      <c r="AR59" s="760"/>
      <c r="AS59" s="760"/>
      <c r="AT59" s="760"/>
      <c r="AU59" s="760"/>
      <c r="AV59" s="760"/>
      <c r="AW59" s="760"/>
      <c r="AX59" s="761"/>
    </row>
    <row r="60" spans="3:50" ht="18" customHeight="1">
      <c r="C60" s="569"/>
      <c r="D60" s="759"/>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0"/>
      <c r="AO60" s="760"/>
      <c r="AP60" s="760"/>
      <c r="AQ60" s="760"/>
      <c r="AR60" s="760"/>
      <c r="AS60" s="760"/>
      <c r="AT60" s="760"/>
      <c r="AU60" s="760"/>
      <c r="AV60" s="760"/>
      <c r="AW60" s="760"/>
      <c r="AX60" s="761"/>
    </row>
    <row r="61" spans="3:50" ht="18" customHeight="1">
      <c r="C61" s="569"/>
      <c r="D61" s="759"/>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1"/>
    </row>
    <row r="62" spans="3:50" ht="18" customHeight="1">
      <c r="C62" s="569"/>
      <c r="D62" s="759"/>
      <c r="E62" s="760"/>
      <c r="F62" s="760"/>
      <c r="G62" s="760"/>
      <c r="H62" s="760"/>
      <c r="I62" s="760"/>
      <c r="J62" s="760"/>
      <c r="K62" s="760"/>
      <c r="L62" s="760"/>
      <c r="M62" s="760"/>
      <c r="N62" s="760"/>
      <c r="O62" s="760"/>
      <c r="P62" s="760"/>
      <c r="Q62" s="760"/>
      <c r="R62" s="760"/>
      <c r="S62" s="760"/>
      <c r="T62" s="760"/>
      <c r="U62" s="760"/>
      <c r="V62" s="760"/>
      <c r="W62" s="760"/>
      <c r="X62" s="760"/>
      <c r="Y62" s="760"/>
      <c r="Z62" s="760"/>
      <c r="AA62" s="760"/>
      <c r="AB62" s="760"/>
      <c r="AC62" s="760"/>
      <c r="AD62" s="760"/>
      <c r="AE62" s="760"/>
      <c r="AF62" s="760"/>
      <c r="AG62" s="760"/>
      <c r="AH62" s="760"/>
      <c r="AI62" s="760"/>
      <c r="AJ62" s="760"/>
      <c r="AK62" s="760"/>
      <c r="AL62" s="760"/>
      <c r="AM62" s="760"/>
      <c r="AN62" s="760"/>
      <c r="AO62" s="760"/>
      <c r="AP62" s="760"/>
      <c r="AQ62" s="760"/>
      <c r="AR62" s="760"/>
      <c r="AS62" s="760"/>
      <c r="AT62" s="760"/>
      <c r="AU62" s="760"/>
      <c r="AV62" s="760"/>
      <c r="AW62" s="760"/>
      <c r="AX62" s="761"/>
    </row>
    <row r="63" spans="3:50" ht="18" customHeight="1">
      <c r="C63" s="569"/>
      <c r="D63" s="759"/>
      <c r="E63" s="760"/>
      <c r="F63" s="760"/>
      <c r="G63" s="760"/>
      <c r="H63" s="760"/>
      <c r="I63" s="760"/>
      <c r="J63" s="760"/>
      <c r="K63" s="760"/>
      <c r="L63" s="760"/>
      <c r="M63" s="760"/>
      <c r="N63" s="760"/>
      <c r="O63" s="760"/>
      <c r="P63" s="760"/>
      <c r="Q63" s="760"/>
      <c r="R63" s="760"/>
      <c r="S63" s="760"/>
      <c r="T63" s="760"/>
      <c r="U63" s="760"/>
      <c r="V63" s="760"/>
      <c r="W63" s="760"/>
      <c r="X63" s="760"/>
      <c r="Y63" s="760"/>
      <c r="Z63" s="760"/>
      <c r="AA63" s="760"/>
      <c r="AB63" s="760"/>
      <c r="AC63" s="760"/>
      <c r="AD63" s="760"/>
      <c r="AE63" s="760"/>
      <c r="AF63" s="760"/>
      <c r="AG63" s="760"/>
      <c r="AH63" s="760"/>
      <c r="AI63" s="760"/>
      <c r="AJ63" s="760"/>
      <c r="AK63" s="760"/>
      <c r="AL63" s="760"/>
      <c r="AM63" s="760"/>
      <c r="AN63" s="760"/>
      <c r="AO63" s="760"/>
      <c r="AP63" s="760"/>
      <c r="AQ63" s="760"/>
      <c r="AR63" s="760"/>
      <c r="AS63" s="760"/>
      <c r="AT63" s="760"/>
      <c r="AU63" s="760"/>
      <c r="AV63" s="760"/>
      <c r="AW63" s="760"/>
      <c r="AX63" s="761"/>
    </row>
    <row r="64" spans="3:50" ht="18" customHeight="1">
      <c r="C64" s="620"/>
      <c r="D64" s="759"/>
      <c r="E64" s="760"/>
      <c r="F64" s="760"/>
      <c r="G64" s="760"/>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760"/>
      <c r="AJ64" s="760"/>
      <c r="AK64" s="760"/>
      <c r="AL64" s="760"/>
      <c r="AM64" s="760"/>
      <c r="AN64" s="760"/>
      <c r="AO64" s="760"/>
      <c r="AP64" s="760"/>
      <c r="AQ64" s="760"/>
      <c r="AR64" s="760"/>
      <c r="AS64" s="760"/>
      <c r="AT64" s="760"/>
      <c r="AU64" s="760"/>
      <c r="AV64" s="760"/>
      <c r="AW64" s="760"/>
      <c r="AX64" s="761"/>
    </row>
    <row r="65" spans="3:50" ht="18" customHeight="1">
      <c r="C65" s="618"/>
      <c r="D65" s="771"/>
      <c r="E65" s="772"/>
      <c r="F65" s="772"/>
      <c r="G65" s="772"/>
      <c r="H65" s="772"/>
      <c r="I65" s="772"/>
      <c r="J65" s="772"/>
      <c r="K65" s="772"/>
      <c r="L65" s="772"/>
      <c r="M65" s="772"/>
      <c r="N65" s="772"/>
      <c r="O65" s="772"/>
      <c r="P65" s="772"/>
      <c r="Q65" s="772"/>
      <c r="R65" s="772"/>
      <c r="S65" s="772"/>
      <c r="T65" s="772"/>
      <c r="U65" s="772"/>
      <c r="V65" s="772"/>
      <c r="W65" s="772"/>
      <c r="X65" s="772"/>
      <c r="Y65" s="772"/>
      <c r="Z65" s="772"/>
      <c r="AA65" s="772"/>
      <c r="AB65" s="772"/>
      <c r="AC65" s="772"/>
      <c r="AD65" s="772"/>
      <c r="AE65" s="772"/>
      <c r="AF65" s="772"/>
      <c r="AG65" s="772"/>
      <c r="AH65" s="772"/>
      <c r="AI65" s="772"/>
      <c r="AJ65" s="772"/>
      <c r="AK65" s="772"/>
      <c r="AL65" s="772"/>
      <c r="AM65" s="772"/>
      <c r="AN65" s="772"/>
      <c r="AO65" s="772"/>
      <c r="AP65" s="772"/>
      <c r="AQ65" s="772"/>
      <c r="AR65" s="772"/>
      <c r="AS65" s="772"/>
      <c r="AT65" s="772"/>
      <c r="AU65" s="772"/>
      <c r="AV65" s="772"/>
      <c r="AW65" s="772"/>
      <c r="AX65" s="773"/>
    </row>
    <row r="66" spans="1:97" ht="18" customHeight="1">
      <c r="A66" s="497"/>
      <c r="B66" s="435"/>
      <c r="C66" s="370"/>
      <c r="D66" s="599"/>
      <c r="E66" s="599"/>
      <c r="F66" s="599"/>
      <c r="G66" s="599"/>
      <c r="H66" s="599"/>
      <c r="I66" s="597"/>
      <c r="J66" s="597"/>
      <c r="K66" s="597"/>
      <c r="L66" s="597"/>
      <c r="M66" s="597"/>
      <c r="N66" s="597"/>
      <c r="O66" s="597"/>
      <c r="P66" s="597"/>
      <c r="Q66" s="597"/>
      <c r="R66" s="597"/>
      <c r="S66" s="597"/>
      <c r="T66" s="597"/>
      <c r="U66" s="597"/>
      <c r="V66" s="597"/>
      <c r="W66" s="597"/>
      <c r="X66" s="599"/>
      <c r="Y66" s="597"/>
      <c r="Z66" s="599"/>
      <c r="AA66" s="597"/>
      <c r="AB66" s="599"/>
      <c r="AC66" s="597"/>
      <c r="AD66" s="599"/>
      <c r="AE66" s="597"/>
      <c r="AF66" s="599"/>
      <c r="AG66" s="600"/>
      <c r="AH66" s="599"/>
      <c r="AI66" s="597"/>
      <c r="AJ66" s="597"/>
      <c r="AK66" s="597"/>
      <c r="AL66" s="599"/>
      <c r="AM66" s="597"/>
      <c r="AN66" s="599"/>
      <c r="AO66" s="598"/>
      <c r="AP66" s="598"/>
      <c r="AQ66" s="598"/>
      <c r="AR66" s="598"/>
      <c r="AS66" s="598"/>
      <c r="AT66" s="601"/>
      <c r="AU66" s="598"/>
      <c r="AV66" s="601"/>
      <c r="AW66" s="598"/>
      <c r="AX66" s="601"/>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row>
    <row r="67" spans="52:92" ht="18" customHeight="1">
      <c r="AZ67" s="554"/>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row>
    <row r="68" spans="52:92" ht="18" customHeight="1">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519"/>
      <c r="BY68" s="519"/>
      <c r="BZ68" s="519"/>
      <c r="CA68" s="519"/>
      <c r="CB68" s="519"/>
      <c r="CC68" s="519"/>
      <c r="CD68" s="519"/>
      <c r="CE68" s="519"/>
      <c r="CF68" s="519"/>
      <c r="CG68" s="519"/>
      <c r="CH68" s="519"/>
      <c r="CI68" s="519"/>
      <c r="CJ68" s="519"/>
      <c r="CK68" s="519"/>
      <c r="CL68" s="519"/>
      <c r="CM68" s="519"/>
      <c r="CN68" s="519"/>
    </row>
    <row r="69" spans="1:97" s="295" customFormat="1" ht="10.5" customHeight="1">
      <c r="A69" s="189"/>
      <c r="B69" s="190"/>
      <c r="C69" s="202"/>
      <c r="D69" s="202"/>
      <c r="E69" s="202"/>
      <c r="F69" s="202"/>
      <c r="G69" s="202"/>
      <c r="H69" s="230"/>
      <c r="I69" s="231"/>
      <c r="J69" s="232"/>
      <c r="K69" s="231"/>
      <c r="L69" s="232"/>
      <c r="M69" s="231"/>
      <c r="N69" s="232"/>
      <c r="O69" s="231"/>
      <c r="P69" s="232"/>
      <c r="Q69" s="231"/>
      <c r="R69" s="232"/>
      <c r="S69" s="231"/>
      <c r="T69" s="232"/>
      <c r="U69" s="231"/>
      <c r="V69" s="232"/>
      <c r="W69" s="231"/>
      <c r="X69" s="230"/>
      <c r="Y69" s="231"/>
      <c r="Z69" s="230"/>
      <c r="AA69" s="231"/>
      <c r="AB69" s="230"/>
      <c r="AC69" s="231"/>
      <c r="AD69" s="230"/>
      <c r="AE69" s="231"/>
      <c r="AF69" s="230"/>
      <c r="AG69" s="231"/>
      <c r="AH69" s="230"/>
      <c r="AI69" s="231"/>
      <c r="AJ69" s="232"/>
      <c r="AK69" s="231"/>
      <c r="AL69" s="230"/>
      <c r="AM69" s="231"/>
      <c r="AN69" s="230"/>
      <c r="AO69" s="231"/>
      <c r="AP69" s="231"/>
      <c r="AQ69" s="231"/>
      <c r="AR69" s="231"/>
      <c r="AS69" s="231"/>
      <c r="AT69" s="230"/>
      <c r="AU69" s="231"/>
      <c r="AV69" s="230"/>
      <c r="AW69" s="231"/>
      <c r="AX69" s="202"/>
      <c r="AY69" s="200"/>
      <c r="AZ69" s="100"/>
      <c r="BA69" s="556"/>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200"/>
      <c r="CP69" s="200"/>
      <c r="CQ69" s="200"/>
      <c r="CR69" s="200"/>
      <c r="CS69" s="200"/>
    </row>
    <row r="70" spans="52:92" ht="12.75">
      <c r="AZ70" s="100"/>
      <c r="BA70" s="556"/>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row>
    <row r="71" spans="52:92" ht="12.75">
      <c r="AZ71" s="426"/>
      <c r="BA71" s="427"/>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row>
    <row r="72" spans="52:92" ht="12.75">
      <c r="AZ72" s="426"/>
      <c r="BA72" s="427"/>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row>
    <row r="73" spans="52:92" ht="12.75">
      <c r="AZ73" s="100"/>
      <c r="BA73" s="556"/>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row>
    <row r="74" spans="52:92" ht="12.75">
      <c r="AZ74" s="100"/>
      <c r="BA74" s="557"/>
      <c r="BB74" s="100"/>
      <c r="BC74" s="100"/>
      <c r="BD74" s="100"/>
      <c r="BE74" s="118"/>
      <c r="BF74" s="118"/>
      <c r="BG74" s="118"/>
      <c r="BH74" s="118"/>
      <c r="BI74" s="118"/>
      <c r="BJ74" s="118"/>
      <c r="BK74" s="118"/>
      <c r="BL74" s="118"/>
      <c r="BM74" s="118"/>
      <c r="BN74" s="118"/>
      <c r="BO74" s="118"/>
      <c r="BP74" s="118"/>
      <c r="BQ74" s="118"/>
      <c r="BR74" s="118"/>
      <c r="BS74" s="100"/>
      <c r="BT74" s="100"/>
      <c r="BU74" s="100"/>
      <c r="BV74" s="100"/>
      <c r="BW74" s="100"/>
      <c r="BX74" s="100"/>
      <c r="BY74" s="100"/>
      <c r="BZ74" s="100"/>
      <c r="CA74" s="100"/>
      <c r="CB74" s="100"/>
      <c r="CC74" s="100"/>
      <c r="CD74" s="100"/>
      <c r="CE74" s="118"/>
      <c r="CF74" s="118"/>
      <c r="CG74" s="100"/>
      <c r="CH74" s="100"/>
      <c r="CI74" s="100"/>
      <c r="CJ74" s="100"/>
      <c r="CK74" s="100"/>
      <c r="CL74" s="100"/>
      <c r="CM74" s="100"/>
      <c r="CN74" s="100"/>
    </row>
    <row r="75" spans="52:92" ht="12.75">
      <c r="AZ75" s="100"/>
      <c r="BA75" s="556"/>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row>
    <row r="76" spans="52:92" ht="12.75">
      <c r="AZ76" s="100"/>
      <c r="BA76" s="556"/>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row>
    <row r="77" spans="52:92" ht="12.75">
      <c r="AZ77" s="100"/>
      <c r="BA77" s="556"/>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row>
    <row r="78" spans="52:92" ht="12.75">
      <c r="AZ78" s="426"/>
      <c r="BA78" s="427"/>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row>
    <row r="79" spans="52:92" ht="12.75">
      <c r="AZ79" s="100"/>
      <c r="BA79" s="556"/>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row>
    <row r="80" spans="52:92" ht="12.75">
      <c r="AZ80" s="100"/>
      <c r="BA80" s="556"/>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row>
    <row r="81" spans="52:92" ht="12.75">
      <c r="AZ81" s="426"/>
      <c r="BA81" s="427"/>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row>
    <row r="82" spans="52:92" ht="12.75">
      <c r="AZ82" s="100"/>
      <c r="BA82" s="556"/>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row>
    <row r="83" spans="52:92" ht="12.75">
      <c r="AZ83" s="426"/>
      <c r="BA83" s="427"/>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row>
    <row r="84" spans="52:92" ht="12.75">
      <c r="AZ84" s="100"/>
      <c r="BA84" s="556"/>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row>
    <row r="85" spans="52:92" ht="12.75">
      <c r="AZ85" s="100"/>
      <c r="BA85" s="556"/>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row>
    <row r="86" spans="52:92" ht="12.75">
      <c r="AZ86" s="100"/>
      <c r="BA86" s="557"/>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row>
    <row r="87" spans="52:92" ht="12.75">
      <c r="AZ87" s="100"/>
      <c r="BA87" s="556"/>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row>
    <row r="88" spans="52:92" ht="12.75">
      <c r="AZ88" s="426"/>
      <c r="BA88" s="427"/>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c r="CN88" s="100"/>
    </row>
    <row r="89" spans="52:92" ht="12.75">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row>
    <row r="90" spans="52:92" ht="12.75">
      <c r="AZ90" s="100"/>
      <c r="BA90" s="556"/>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row>
    <row r="91" spans="52:92" ht="12.75">
      <c r="AZ91" s="100"/>
      <c r="BA91" s="556"/>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row>
    <row r="92" spans="52:92" ht="12.75">
      <c r="AZ92" s="426"/>
      <c r="BA92" s="427"/>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row>
    <row r="93" spans="52:92" ht="12.75">
      <c r="AZ93" s="100"/>
      <c r="BA93" s="558"/>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row>
    <row r="94" spans="52:92" ht="12.75">
      <c r="AZ94" s="559"/>
      <c r="BA94" s="427"/>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row>
    <row r="95" spans="52:92" ht="12.75">
      <c r="AZ95" s="559"/>
      <c r="BA95" s="427"/>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row>
    <row r="96" spans="52:92" ht="12.75">
      <c r="AZ96" s="559"/>
      <c r="BA96" s="427"/>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row>
    <row r="97" spans="52:92" ht="12.75">
      <c r="AZ97" s="559"/>
      <c r="BA97" s="427"/>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52:92" ht="12.75">
      <c r="AZ98" s="559"/>
      <c r="BA98" s="427"/>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row>
    <row r="99" spans="52:92" ht="12.75">
      <c r="AZ99" s="559"/>
      <c r="BA99" s="427"/>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row>
    <row r="100" spans="52:92" ht="12.75">
      <c r="AZ100" s="559"/>
      <c r="BA100" s="427"/>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52:92" ht="12.75">
      <c r="AZ101" s="559"/>
      <c r="BA101" s="427"/>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row>
    <row r="102" spans="52:92" ht="12.75">
      <c r="AZ102" s="559"/>
      <c r="BA102" s="427"/>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row>
    <row r="103" spans="52:92" ht="12.75">
      <c r="AZ103" s="100"/>
      <c r="BA103" s="556"/>
      <c r="BB103" s="100"/>
      <c r="BC103" s="100"/>
      <c r="BD103" s="100"/>
      <c r="BE103" s="118"/>
      <c r="BF103" s="118"/>
      <c r="BG103" s="118"/>
      <c r="BH103" s="118"/>
      <c r="BI103" s="118"/>
      <c r="BJ103" s="118"/>
      <c r="BK103" s="118"/>
      <c r="BL103" s="118"/>
      <c r="BM103" s="118"/>
      <c r="BN103" s="118"/>
      <c r="BO103" s="118"/>
      <c r="BP103" s="118"/>
      <c r="BQ103" s="118"/>
      <c r="BR103" s="118"/>
      <c r="BS103" s="100"/>
      <c r="BT103" s="100"/>
      <c r="BU103" s="100"/>
      <c r="BV103" s="100"/>
      <c r="BW103" s="100"/>
      <c r="BX103" s="100"/>
      <c r="BY103" s="100"/>
      <c r="BZ103" s="100"/>
      <c r="CA103" s="100"/>
      <c r="CB103" s="100"/>
      <c r="CC103" s="100"/>
      <c r="CD103" s="100"/>
      <c r="CE103" s="118"/>
      <c r="CF103" s="118"/>
      <c r="CG103" s="100"/>
      <c r="CH103" s="100"/>
      <c r="CI103" s="100"/>
      <c r="CJ103" s="100"/>
      <c r="CK103" s="100"/>
      <c r="CL103" s="100"/>
      <c r="CM103" s="100"/>
      <c r="CN103" s="100"/>
    </row>
    <row r="104" spans="52:92" ht="12.75">
      <c r="AZ104" s="100"/>
      <c r="BA104" s="556"/>
      <c r="BB104" s="100"/>
      <c r="BC104" s="100"/>
      <c r="BD104" s="100"/>
      <c r="BE104" s="118"/>
      <c r="BF104" s="118"/>
      <c r="BG104" s="118"/>
      <c r="BH104" s="118"/>
      <c r="BI104" s="118"/>
      <c r="BJ104" s="118"/>
      <c r="BK104" s="118"/>
      <c r="BL104" s="118"/>
      <c r="BM104" s="118"/>
      <c r="BN104" s="118"/>
      <c r="BO104" s="118"/>
      <c r="BP104" s="118"/>
      <c r="BQ104" s="118"/>
      <c r="BR104" s="118"/>
      <c r="BS104" s="100"/>
      <c r="BT104" s="100"/>
      <c r="BU104" s="100"/>
      <c r="BV104" s="100"/>
      <c r="BW104" s="100"/>
      <c r="BX104" s="100"/>
      <c r="BY104" s="100"/>
      <c r="BZ104" s="100"/>
      <c r="CA104" s="100"/>
      <c r="CB104" s="100"/>
      <c r="CC104" s="100"/>
      <c r="CD104" s="100"/>
      <c r="CE104" s="118"/>
      <c r="CF104" s="118"/>
      <c r="CG104" s="100"/>
      <c r="CH104" s="100"/>
      <c r="CI104" s="100"/>
      <c r="CJ104" s="100"/>
      <c r="CK104" s="100"/>
      <c r="CL104" s="100"/>
      <c r="CM104" s="100"/>
      <c r="CN104" s="100"/>
    </row>
    <row r="105" spans="52:92" ht="12.75">
      <c r="AZ105" s="426"/>
      <c r="BA105" s="427"/>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row>
    <row r="106" spans="52:92" ht="12.75">
      <c r="AZ106" s="100"/>
      <c r="BA106" s="556"/>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row>
    <row r="107" spans="52:92" ht="12.75">
      <c r="AZ107" s="446"/>
      <c r="BA107" s="446"/>
      <c r="BB107" s="446"/>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row>
    <row r="108" spans="54:92" ht="12.75">
      <c r="BB108" s="100"/>
      <c r="BC108" s="446"/>
      <c r="BD108" s="446"/>
      <c r="BE108" s="118"/>
      <c r="BF108" s="118"/>
      <c r="BG108" s="118"/>
      <c r="BH108" s="118"/>
      <c r="BI108" s="118"/>
      <c r="BJ108" s="118"/>
      <c r="BK108" s="118"/>
      <c r="BL108" s="118"/>
      <c r="BM108" s="118"/>
      <c r="BN108" s="118"/>
      <c r="BO108" s="118"/>
      <c r="BP108" s="118"/>
      <c r="BQ108" s="118"/>
      <c r="BR108" s="118"/>
      <c r="BS108" s="100"/>
      <c r="BT108" s="100"/>
      <c r="BU108" s="100"/>
      <c r="BV108" s="100"/>
      <c r="BW108" s="100"/>
      <c r="BX108" s="100"/>
      <c r="BY108" s="100"/>
      <c r="BZ108" s="100"/>
      <c r="CA108" s="100"/>
      <c r="CB108" s="100"/>
      <c r="CC108" s="100"/>
      <c r="CD108" s="100"/>
      <c r="CE108" s="118"/>
      <c r="CF108" s="118"/>
      <c r="CG108" s="100"/>
      <c r="CH108" s="100"/>
      <c r="CI108" s="100"/>
      <c r="CJ108" s="100"/>
      <c r="CK108" s="100"/>
      <c r="CL108" s="100"/>
      <c r="CM108" s="100"/>
      <c r="CN108" s="100"/>
    </row>
    <row r="109" spans="54:92" ht="12.75">
      <c r="BB109" s="446"/>
      <c r="BC109" s="446"/>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row>
    <row r="110" spans="52:92" ht="12.75">
      <c r="AZ110" s="446"/>
      <c r="BA110" s="560"/>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row>
  </sheetData>
  <sheetProtection sheet="1" formatCells="0" formatColumns="0" formatRows="0" insertColumns="0" insertRows="0" insertHyperlinks="0"/>
  <mergeCells count="32">
    <mergeCell ref="D50:AX50"/>
    <mergeCell ref="D65:AX65"/>
    <mergeCell ref="D58:AX58"/>
    <mergeCell ref="D59:AX59"/>
    <mergeCell ref="D60:AX60"/>
    <mergeCell ref="D61:AX61"/>
    <mergeCell ref="D63:AX63"/>
    <mergeCell ref="D64:AX64"/>
    <mergeCell ref="D62:AX62"/>
    <mergeCell ref="D54:AX54"/>
    <mergeCell ref="C5:AN5"/>
    <mergeCell ref="D27:AX27"/>
    <mergeCell ref="D46:AX46"/>
    <mergeCell ref="D47:AX47"/>
    <mergeCell ref="D29:AX29"/>
    <mergeCell ref="D49:AX49"/>
    <mergeCell ref="AM35:AT35"/>
    <mergeCell ref="AM37:AT37"/>
    <mergeCell ref="D28:AX28"/>
    <mergeCell ref="AM33:AT33"/>
    <mergeCell ref="D55:AX55"/>
    <mergeCell ref="D56:AX56"/>
    <mergeCell ref="D57:AX57"/>
    <mergeCell ref="D51:AX51"/>
    <mergeCell ref="D53:AX53"/>
    <mergeCell ref="D52:AX52"/>
    <mergeCell ref="D48:AX48"/>
    <mergeCell ref="D30:AX30"/>
    <mergeCell ref="AM31:AT31"/>
    <mergeCell ref="D45:AX45"/>
    <mergeCell ref="D44:AX44"/>
    <mergeCell ref="Z33:AG36"/>
  </mergeCells>
  <conditionalFormatting sqref="BC39:BF39 BC33:BF33 BC44:BF44 BM44:CS44 BM33:CS33 BM39:CS39">
    <cfRule type="cellIs" priority="83" dxfId="330" operator="equal" stopIfTrue="1">
      <formula>"&lt;&gt;"</formula>
    </cfRule>
  </conditionalFormatting>
  <conditionalFormatting sqref="BG44:BL44 BG33:BL33 BG39:BL39">
    <cfRule type="cellIs" priority="79" dxfId="330" operator="equal" stopIfTrue="1">
      <formula>"&lt;&gt;"</formula>
    </cfRule>
  </conditionalFormatting>
  <conditionalFormatting sqref="F8">
    <cfRule type="cellIs" priority="76" dxfId="331" operator="lessThan" stopIfTrue="1">
      <formula>0.99*(F9+F10+F11+F12+F13)</formula>
    </cfRule>
  </conditionalFormatting>
  <conditionalFormatting sqref="F14">
    <cfRule type="cellIs" priority="75" dxfId="331" operator="lessThan" stopIfTrue="1">
      <formula>0.99*(F15+F16+F17)</formula>
    </cfRule>
  </conditionalFormatting>
  <conditionalFormatting sqref="F18">
    <cfRule type="cellIs" priority="74" dxfId="331" operator="lessThan" stopIfTrue="1">
      <formula>0.99*(F19+F20+F21)</formula>
    </cfRule>
  </conditionalFormatting>
  <conditionalFormatting sqref="H8">
    <cfRule type="cellIs" priority="73" dxfId="331" operator="lessThan" stopIfTrue="1">
      <formula>0.99*(H9+H10+H11+H12+H13)</formula>
    </cfRule>
  </conditionalFormatting>
  <conditionalFormatting sqref="H14">
    <cfRule type="cellIs" priority="72" dxfId="331" operator="lessThan" stopIfTrue="1">
      <formula>0.99*(H15+H16+H17)</formula>
    </cfRule>
  </conditionalFormatting>
  <conditionalFormatting sqref="H18">
    <cfRule type="cellIs" priority="71" dxfId="331" operator="lessThan" stopIfTrue="1">
      <formula>0.99*(H19+H20+H21)</formula>
    </cfRule>
  </conditionalFormatting>
  <conditionalFormatting sqref="J8">
    <cfRule type="cellIs" priority="70" dxfId="331" operator="lessThan" stopIfTrue="1">
      <formula>0.99*(J9+J10+J11+J12+J13)</formula>
    </cfRule>
  </conditionalFormatting>
  <conditionalFormatting sqref="J14">
    <cfRule type="cellIs" priority="69" dxfId="331" operator="lessThan" stopIfTrue="1">
      <formula>0.99*(J15+J16+J17)</formula>
    </cfRule>
  </conditionalFormatting>
  <conditionalFormatting sqref="J18">
    <cfRule type="cellIs" priority="68" dxfId="331" operator="lessThan" stopIfTrue="1">
      <formula>0.99*(J19+J20+J21)</formula>
    </cfRule>
  </conditionalFormatting>
  <conditionalFormatting sqref="L8">
    <cfRule type="cellIs" priority="67" dxfId="331" operator="lessThan" stopIfTrue="1">
      <formula>0.99*(L9+L10+L11+L12+L13)</formula>
    </cfRule>
  </conditionalFormatting>
  <conditionalFormatting sqref="L14">
    <cfRule type="cellIs" priority="66" dxfId="331" operator="lessThan" stopIfTrue="1">
      <formula>0.99*(L15+L16+L17)</formula>
    </cfRule>
  </conditionalFormatting>
  <conditionalFormatting sqref="L18">
    <cfRule type="cellIs" priority="65" dxfId="331" operator="lessThan" stopIfTrue="1">
      <formula>0.99*(L19+L20+L21)</formula>
    </cfRule>
  </conditionalFormatting>
  <conditionalFormatting sqref="N8">
    <cfRule type="cellIs" priority="64" dxfId="331" operator="lessThan" stopIfTrue="1">
      <formula>0.99*(N9+N10+N11+N12+N13)</formula>
    </cfRule>
  </conditionalFormatting>
  <conditionalFormatting sqref="N14">
    <cfRule type="cellIs" priority="63" dxfId="331" operator="lessThan" stopIfTrue="1">
      <formula>0.99*(N15+N16+N17)</formula>
    </cfRule>
  </conditionalFormatting>
  <conditionalFormatting sqref="N18">
    <cfRule type="cellIs" priority="62" dxfId="331" operator="lessThan" stopIfTrue="1">
      <formula>0.99*(N19+N20+N21)</formula>
    </cfRule>
  </conditionalFormatting>
  <conditionalFormatting sqref="P8">
    <cfRule type="cellIs" priority="61" dxfId="331" operator="lessThan" stopIfTrue="1">
      <formula>0.99*(P9+P10+P11+P12+P13)</formula>
    </cfRule>
  </conditionalFormatting>
  <conditionalFormatting sqref="P14">
    <cfRule type="cellIs" priority="60" dxfId="331" operator="lessThan" stopIfTrue="1">
      <formula>0.99*(P15+P16+P17)</formula>
    </cfRule>
  </conditionalFormatting>
  <conditionalFormatting sqref="P18">
    <cfRule type="cellIs" priority="59" dxfId="331" operator="lessThan" stopIfTrue="1">
      <formula>0.99*(P19+P20+P21)</formula>
    </cfRule>
  </conditionalFormatting>
  <conditionalFormatting sqref="R8">
    <cfRule type="cellIs" priority="58" dxfId="331" operator="lessThan" stopIfTrue="1">
      <formula>0.99*(R9+R10+R11+R12+R13)</formula>
    </cfRule>
  </conditionalFormatting>
  <conditionalFormatting sqref="R14">
    <cfRule type="cellIs" priority="57" dxfId="331" operator="lessThan" stopIfTrue="1">
      <formula>0.99*(R15+R16+R17)</formula>
    </cfRule>
  </conditionalFormatting>
  <conditionalFormatting sqref="R18">
    <cfRule type="cellIs" priority="56" dxfId="331" operator="lessThan" stopIfTrue="1">
      <formula>0.99*(R19+R20+R21)</formula>
    </cfRule>
  </conditionalFormatting>
  <conditionalFormatting sqref="T8">
    <cfRule type="cellIs" priority="55" dxfId="331" operator="lessThan" stopIfTrue="1">
      <formula>0.99*(T9+T10+T11+T12+T13)</formula>
    </cfRule>
  </conditionalFormatting>
  <conditionalFormatting sqref="T14">
    <cfRule type="cellIs" priority="54" dxfId="331" operator="lessThan" stopIfTrue="1">
      <formula>0.99*(T15+T16+T17)</formula>
    </cfRule>
  </conditionalFormatting>
  <conditionalFormatting sqref="T18">
    <cfRule type="cellIs" priority="53" dxfId="331" operator="lessThan" stopIfTrue="1">
      <formula>0.99*(T19+T20+T21)</formula>
    </cfRule>
  </conditionalFormatting>
  <conditionalFormatting sqref="V8">
    <cfRule type="cellIs" priority="52" dxfId="331" operator="lessThan" stopIfTrue="1">
      <formula>0.99*(V9+V10+V11+V12+V13)</formula>
    </cfRule>
  </conditionalFormatting>
  <conditionalFormatting sqref="V14">
    <cfRule type="cellIs" priority="51" dxfId="331" operator="lessThan" stopIfTrue="1">
      <formula>0.99*(V15+V16+V17)</formula>
    </cfRule>
  </conditionalFormatting>
  <conditionalFormatting sqref="V18">
    <cfRule type="cellIs" priority="50" dxfId="331" operator="lessThan" stopIfTrue="1">
      <formula>0.99*(V19+V20+V21)</formula>
    </cfRule>
  </conditionalFormatting>
  <conditionalFormatting sqref="X8">
    <cfRule type="cellIs" priority="49" dxfId="331" operator="lessThan" stopIfTrue="1">
      <formula>0.99*(X9+X10+X11+X12+X13)</formula>
    </cfRule>
  </conditionalFormatting>
  <conditionalFormatting sqref="X14">
    <cfRule type="cellIs" priority="48" dxfId="331" operator="lessThan" stopIfTrue="1">
      <formula>0.99*(X15+X16+X17)</formula>
    </cfRule>
  </conditionalFormatting>
  <conditionalFormatting sqref="X18">
    <cfRule type="cellIs" priority="47" dxfId="331" operator="lessThan" stopIfTrue="1">
      <formula>0.99*(X19+X20+X21)</formula>
    </cfRule>
  </conditionalFormatting>
  <conditionalFormatting sqref="Z8">
    <cfRule type="cellIs" priority="46" dxfId="331" operator="lessThan" stopIfTrue="1">
      <formula>0.99*(Z9+Z10+Z11+Z12+Z13)</formula>
    </cfRule>
  </conditionalFormatting>
  <conditionalFormatting sqref="Z14">
    <cfRule type="cellIs" priority="45" dxfId="331" operator="lessThan" stopIfTrue="1">
      <formula>0.99*(Z15+Z16+Z17)</formula>
    </cfRule>
  </conditionalFormatting>
  <conditionalFormatting sqref="Z18">
    <cfRule type="cellIs" priority="44" dxfId="331" operator="lessThan" stopIfTrue="1">
      <formula>0.99*(Z19+Z20+Z21)</formula>
    </cfRule>
  </conditionalFormatting>
  <conditionalFormatting sqref="AB8">
    <cfRule type="cellIs" priority="43" dxfId="331" operator="lessThan" stopIfTrue="1">
      <formula>0.99*(AB9+AB10+AB11+AB12+AB13)</formula>
    </cfRule>
  </conditionalFormatting>
  <conditionalFormatting sqref="AB14">
    <cfRule type="cellIs" priority="42" dxfId="331" operator="lessThan" stopIfTrue="1">
      <formula>0.99*(AB15+AB16+AB17)</formula>
    </cfRule>
  </conditionalFormatting>
  <conditionalFormatting sqref="AB18">
    <cfRule type="cellIs" priority="41" dxfId="331" operator="lessThan" stopIfTrue="1">
      <formula>0.99*(AB19+AB20+AB21)</formula>
    </cfRule>
  </conditionalFormatting>
  <conditionalFormatting sqref="AD8">
    <cfRule type="cellIs" priority="40" dxfId="331" operator="lessThan" stopIfTrue="1">
      <formula>0.99*(AD9+AD10+AD11+AD12+AD13)</formula>
    </cfRule>
  </conditionalFormatting>
  <conditionalFormatting sqref="AD14">
    <cfRule type="cellIs" priority="39" dxfId="331" operator="lessThan" stopIfTrue="1">
      <formula>0.99*(AD15+AD16+AD17)</formula>
    </cfRule>
  </conditionalFormatting>
  <conditionalFormatting sqref="AD18">
    <cfRule type="cellIs" priority="38" dxfId="331" operator="lessThan" stopIfTrue="1">
      <formula>0.99*(AD19+AD20+AD21)</formula>
    </cfRule>
  </conditionalFormatting>
  <conditionalFormatting sqref="AF8">
    <cfRule type="cellIs" priority="37" dxfId="331" operator="lessThan" stopIfTrue="1">
      <formula>0.99*(AF9+AF10+AF11+AF12+AF13)</formula>
    </cfRule>
  </conditionalFormatting>
  <conditionalFormatting sqref="AF14">
    <cfRule type="cellIs" priority="36" dxfId="331" operator="lessThan" stopIfTrue="1">
      <formula>0.99*(AF15+AF16+AF17)</formula>
    </cfRule>
  </conditionalFormatting>
  <conditionalFormatting sqref="AF18">
    <cfRule type="cellIs" priority="35" dxfId="331" operator="lessThan" stopIfTrue="1">
      <formula>0.99*(AF19+AF20+AF21)</formula>
    </cfRule>
  </conditionalFormatting>
  <conditionalFormatting sqref="AH8">
    <cfRule type="cellIs" priority="34" dxfId="331" operator="lessThan" stopIfTrue="1">
      <formula>0.99*(AH9+AH10+AH11+AH12+AH13)</formula>
    </cfRule>
  </conditionalFormatting>
  <conditionalFormatting sqref="AH14">
    <cfRule type="cellIs" priority="33" dxfId="331" operator="lessThan" stopIfTrue="1">
      <formula>0.99*(AH15+AH16+AH17)</formula>
    </cfRule>
  </conditionalFormatting>
  <conditionalFormatting sqref="AH18">
    <cfRule type="cellIs" priority="32" dxfId="331" operator="lessThan" stopIfTrue="1">
      <formula>0.99*(AH19+AH20+AH21)</formula>
    </cfRule>
  </conditionalFormatting>
  <conditionalFormatting sqref="AJ8">
    <cfRule type="cellIs" priority="31" dxfId="331" operator="lessThan" stopIfTrue="1">
      <formula>0.99*(AJ9+AJ10+AJ11+AJ12+AJ13)</formula>
    </cfRule>
  </conditionalFormatting>
  <conditionalFormatting sqref="AJ14">
    <cfRule type="cellIs" priority="30" dxfId="331" operator="lessThan" stopIfTrue="1">
      <formula>0.99*(AJ15+AJ16+AJ17)</formula>
    </cfRule>
  </conditionalFormatting>
  <conditionalFormatting sqref="AJ18">
    <cfRule type="cellIs" priority="29" dxfId="331" operator="lessThan" stopIfTrue="1">
      <formula>0.99*(AJ19+AJ20+AJ21)</formula>
    </cfRule>
  </conditionalFormatting>
  <conditionalFormatting sqref="AL8">
    <cfRule type="cellIs" priority="28" dxfId="331" operator="lessThan" stopIfTrue="1">
      <formula>0.99*(AL9+AL10+AL11+AL12+AL13)</formula>
    </cfRule>
  </conditionalFormatting>
  <conditionalFormatting sqref="AL14">
    <cfRule type="cellIs" priority="27" dxfId="331" operator="lessThan" stopIfTrue="1">
      <formula>0.99*(AL15+AL16+AL17)</formula>
    </cfRule>
  </conditionalFormatting>
  <conditionalFormatting sqref="AL18">
    <cfRule type="cellIs" priority="26" dxfId="331" operator="lessThan" stopIfTrue="1">
      <formula>0.99*(AL19+AL20+AL21)</formula>
    </cfRule>
  </conditionalFormatting>
  <conditionalFormatting sqref="AN8">
    <cfRule type="cellIs" priority="25" dxfId="331" operator="lessThan" stopIfTrue="1">
      <formula>0.99*(AN9+AN10+AN11+AN12+AN13)</formula>
    </cfRule>
  </conditionalFormatting>
  <conditionalFormatting sqref="AN14">
    <cfRule type="cellIs" priority="24" dxfId="331" operator="lessThan" stopIfTrue="1">
      <formula>0.99*(AN15+AN16+AN17)</formula>
    </cfRule>
  </conditionalFormatting>
  <conditionalFormatting sqref="AN18">
    <cfRule type="cellIs" priority="23" dxfId="331" operator="lessThan" stopIfTrue="1">
      <formula>0.99*(AN19+AN20+AN21)</formula>
    </cfRule>
  </conditionalFormatting>
  <conditionalFormatting sqref="AP8">
    <cfRule type="cellIs" priority="22" dxfId="331" operator="lessThan" stopIfTrue="1">
      <formula>0.99*(AP9+AP10+AP11+AP12+AP13)</formula>
    </cfRule>
  </conditionalFormatting>
  <conditionalFormatting sqref="AP14">
    <cfRule type="cellIs" priority="21" dxfId="331" operator="lessThan" stopIfTrue="1">
      <formula>0.99*(AP15+AP16+AP17)</formula>
    </cfRule>
  </conditionalFormatting>
  <conditionalFormatting sqref="AP18">
    <cfRule type="cellIs" priority="20" dxfId="331" operator="lessThan" stopIfTrue="1">
      <formula>0.99*(AP19+AP20+AP21)</formula>
    </cfRule>
  </conditionalFormatting>
  <conditionalFormatting sqref="AR8">
    <cfRule type="cellIs" priority="19" dxfId="331" operator="lessThan" stopIfTrue="1">
      <formula>0.99*(AR9+AR10+AR11+AR12+AR13)</formula>
    </cfRule>
  </conditionalFormatting>
  <conditionalFormatting sqref="AR14">
    <cfRule type="cellIs" priority="18" dxfId="331" operator="lessThan" stopIfTrue="1">
      <formula>0.99*(AR15+AR16+AR17)</formula>
    </cfRule>
  </conditionalFormatting>
  <conditionalFormatting sqref="AR18">
    <cfRule type="cellIs" priority="17" dxfId="331" operator="lessThan" stopIfTrue="1">
      <formula>0.99*(AR19+AR20+AR21)</formula>
    </cfRule>
  </conditionalFormatting>
  <conditionalFormatting sqref="AT8">
    <cfRule type="cellIs" priority="16" dxfId="331" operator="lessThan" stopIfTrue="1">
      <formula>0.99*(AT9+AT10+AT11+AT12+AT13)</formula>
    </cfRule>
  </conditionalFormatting>
  <conditionalFormatting sqref="AT14">
    <cfRule type="cellIs" priority="15" dxfId="331" operator="lessThan" stopIfTrue="1">
      <formula>0.99*(AT15+AT16+AT17)</formula>
    </cfRule>
  </conditionalFormatting>
  <conditionalFormatting sqref="AT18">
    <cfRule type="cellIs" priority="14" dxfId="331" operator="lessThan" stopIfTrue="1">
      <formula>0.99*(AT19+AT20+AT21)</formula>
    </cfRule>
  </conditionalFormatting>
  <conditionalFormatting sqref="AV8">
    <cfRule type="cellIs" priority="13" dxfId="331" operator="lessThan" stopIfTrue="1">
      <formula>0.99*(AV9+AV10+AV11+AV12+AV13)</formula>
    </cfRule>
  </conditionalFormatting>
  <conditionalFormatting sqref="AV14">
    <cfRule type="cellIs" priority="12" dxfId="331" operator="lessThan" stopIfTrue="1">
      <formula>0.99*(AV15+AV16+AV17)</formula>
    </cfRule>
  </conditionalFormatting>
  <conditionalFormatting sqref="AV18">
    <cfRule type="cellIs" priority="11" dxfId="331" operator="lessThan" stopIfTrue="1">
      <formula>0.99*(AV19+AV20+AV21)</formula>
    </cfRule>
  </conditionalFormatting>
  <conditionalFormatting sqref="BE8:BE24">
    <cfRule type="cellIs" priority="9" dxfId="330"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0" dxfId="330" operator="equal" stopIfTrue="1">
      <formula>"&gt; 25%"</formula>
    </cfRule>
  </conditionalFormatting>
  <conditionalFormatting sqref="CS30 CA30 BY30 BW30 BU30 BS30 BQ30 CQ30 CO30 CM30 CK30 CI30 CG30 CE30 CC30">
    <cfRule type="cellIs" priority="8" dxfId="330" operator="equal" stopIfTrue="1">
      <formula>"&lt;&gt;"</formula>
    </cfRule>
  </conditionalFormatting>
  <conditionalFormatting sqref="BC30">
    <cfRule type="cellIs" priority="7" dxfId="330" operator="equal" stopIfTrue="1">
      <formula>"&lt;&gt;"</formula>
    </cfRule>
  </conditionalFormatting>
  <conditionalFormatting sqref="BE30">
    <cfRule type="cellIs" priority="6" dxfId="330" operator="equal" stopIfTrue="1">
      <formula>"&lt;&gt;"</formula>
    </cfRule>
  </conditionalFormatting>
  <conditionalFormatting sqref="BG30">
    <cfRule type="cellIs" priority="5" dxfId="330" operator="equal" stopIfTrue="1">
      <formula>"&lt;&gt;"</formula>
    </cfRule>
  </conditionalFormatting>
  <conditionalFormatting sqref="BI30">
    <cfRule type="cellIs" priority="4" dxfId="330" operator="equal" stopIfTrue="1">
      <formula>"&lt;&gt;"</formula>
    </cfRule>
  </conditionalFormatting>
  <conditionalFormatting sqref="BK30">
    <cfRule type="cellIs" priority="3" dxfId="330" operator="equal" stopIfTrue="1">
      <formula>"&lt;&gt;"</formula>
    </cfRule>
  </conditionalFormatting>
  <conditionalFormatting sqref="BM30">
    <cfRule type="cellIs" priority="2" dxfId="330" operator="equal" stopIfTrue="1">
      <formula>"&lt;&gt;"</formula>
    </cfRule>
  </conditionalFormatting>
  <conditionalFormatting sqref="BO30">
    <cfRule type="cellIs" priority="1" dxfId="330"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F73"/>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8" style="189" hidden="1" customWidth="1"/>
    <col min="2" max="2" width="8.5" style="190" hidden="1" customWidth="1"/>
    <col min="3" max="3" width="9.5" style="202" customWidth="1"/>
    <col min="4" max="4" width="32.83203125" style="202" customWidth="1"/>
    <col min="5" max="5" width="8.66015625" style="202" customWidth="1"/>
    <col min="6" max="6" width="7.16015625"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6.66015625" style="200" customWidth="1"/>
    <col min="52" max="52" width="30.66015625" style="200" customWidth="1"/>
    <col min="53" max="53" width="7.16015625" style="200" customWidth="1"/>
    <col min="54" max="54" width="6.5" style="200" customWidth="1"/>
    <col min="55" max="55" width="2.16015625" style="200" customWidth="1"/>
    <col min="56" max="56" width="6.5" style="200" customWidth="1"/>
    <col min="57" max="57" width="1.171875" style="200" customWidth="1"/>
    <col min="58" max="58" width="6.5" style="200" customWidth="1"/>
    <col min="59" max="59" width="1.171875" style="200" customWidth="1"/>
    <col min="60" max="60" width="6.5" style="200" customWidth="1"/>
    <col min="61" max="61" width="1.5" style="200" customWidth="1"/>
    <col min="62" max="62" width="6.5" style="200" customWidth="1"/>
    <col min="63" max="63" width="1.5" style="200" customWidth="1"/>
    <col min="64" max="64" width="6.5" style="200" customWidth="1"/>
    <col min="65" max="65" width="1.171875" style="200" customWidth="1"/>
    <col min="66" max="66" width="6.5" style="200" customWidth="1"/>
    <col min="67" max="67" width="1.5" style="200" customWidth="1"/>
    <col min="68" max="68" width="6.5" style="200" customWidth="1"/>
    <col min="69" max="69" width="1.5" style="200" customWidth="1"/>
    <col min="70" max="70" width="6.5" style="200" customWidth="1"/>
    <col min="71" max="71" width="1.5" style="200" customWidth="1"/>
    <col min="72" max="72" width="6.5" style="200" customWidth="1"/>
    <col min="73" max="73" width="1.5" style="200" customWidth="1"/>
    <col min="74" max="74" width="6.5" style="200" customWidth="1"/>
    <col min="75" max="75" width="1.5" style="200" customWidth="1"/>
    <col min="76" max="76" width="6.5" style="200" customWidth="1"/>
    <col min="77" max="77" width="1.5" style="200" customWidth="1"/>
    <col min="78" max="78" width="6.5" style="200" customWidth="1"/>
    <col min="79" max="79" width="1.5" style="200" customWidth="1"/>
    <col min="80" max="80" width="6.5" style="200" customWidth="1"/>
    <col min="81" max="81" width="1.3359375" style="200" customWidth="1"/>
    <col min="82" max="82" width="6.5" style="200" customWidth="1"/>
    <col min="83" max="83" width="1.3359375" style="200" customWidth="1"/>
    <col min="84" max="84" width="6.5" style="200" customWidth="1"/>
    <col min="85" max="85" width="1.3359375" style="200" customWidth="1"/>
    <col min="86" max="86" width="6.5" style="200" customWidth="1"/>
    <col min="87" max="87" width="1.3359375" style="200" customWidth="1"/>
    <col min="88" max="88" width="6.5" style="200" customWidth="1"/>
    <col min="89" max="89" width="1.3359375" style="200" customWidth="1"/>
    <col min="90" max="90" width="6.5" style="200" customWidth="1"/>
    <col min="91" max="91" width="1.3359375" style="200" customWidth="1"/>
    <col min="92" max="92" width="6.5" style="200" customWidth="1"/>
    <col min="93" max="93" width="1.3359375" style="200" customWidth="1"/>
    <col min="94" max="94" width="6.5" style="200" customWidth="1"/>
    <col min="95" max="95" width="1.3359375" style="200" customWidth="1"/>
    <col min="96" max="96" width="6.5" style="200" customWidth="1"/>
    <col min="97" max="16384" width="9.33203125" style="202" customWidth="1"/>
  </cols>
  <sheetData>
    <row r="1" spans="1:96" s="445" customFormat="1" ht="1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61"/>
      <c r="AP1" s="561"/>
      <c r="AQ1" s="561"/>
      <c r="AR1" s="561"/>
      <c r="AS1" s="561"/>
      <c r="AT1" s="340"/>
      <c r="AU1" s="341"/>
      <c r="AV1" s="340"/>
      <c r="AW1" s="341"/>
      <c r="AX1" s="499"/>
      <c r="AY1" s="201" t="s">
        <v>96</v>
      </c>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row>
    <row r="2" spans="5:48" ht="7.5" customHeight="1">
      <c r="E2" s="344"/>
      <c r="F2" s="344"/>
      <c r="G2" s="344"/>
      <c r="H2" s="348"/>
      <c r="AE2" s="353"/>
      <c r="AF2" s="348"/>
      <c r="AG2" s="353"/>
      <c r="AH2" s="348"/>
      <c r="AI2" s="353"/>
      <c r="AJ2" s="433"/>
      <c r="AK2" s="353"/>
      <c r="AL2" s="348"/>
      <c r="AM2" s="353"/>
      <c r="AN2" s="348"/>
      <c r="AT2" s="348"/>
      <c r="AV2" s="348"/>
    </row>
    <row r="3" spans="1:98" s="365" customFormat="1" ht="17.25" customHeight="1">
      <c r="A3" s="290"/>
      <c r="B3" s="290">
        <v>508</v>
      </c>
      <c r="C3" s="349" t="s">
        <v>358</v>
      </c>
      <c r="D3" s="32" t="s">
        <v>483</v>
      </c>
      <c r="E3" s="436"/>
      <c r="F3" s="437"/>
      <c r="G3" s="438"/>
      <c r="H3" s="439"/>
      <c r="I3" s="440"/>
      <c r="J3" s="439"/>
      <c r="K3" s="440"/>
      <c r="L3" s="439"/>
      <c r="M3" s="440"/>
      <c r="N3" s="439"/>
      <c r="O3" s="440"/>
      <c r="P3" s="439"/>
      <c r="Q3" s="440"/>
      <c r="R3" s="439"/>
      <c r="S3" s="440"/>
      <c r="T3" s="439"/>
      <c r="U3" s="440"/>
      <c r="V3" s="439"/>
      <c r="W3" s="438"/>
      <c r="X3" s="439"/>
      <c r="Y3" s="438"/>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6" t="s">
        <v>60</v>
      </c>
      <c r="AZ3" s="447"/>
      <c r="BA3" s="363"/>
      <c r="BB3" s="448"/>
      <c r="BC3" s="448"/>
      <c r="BD3" s="500"/>
      <c r="BE3" s="500"/>
      <c r="BF3" s="500"/>
      <c r="BG3" s="500"/>
      <c r="BH3" s="449"/>
      <c r="BI3" s="449"/>
      <c r="BJ3" s="449"/>
      <c r="BK3" s="449"/>
      <c r="BL3" s="500"/>
      <c r="BM3" s="500"/>
      <c r="BN3" s="449"/>
      <c r="BO3" s="449"/>
      <c r="BP3" s="449"/>
      <c r="BQ3" s="449"/>
      <c r="BR3" s="449"/>
      <c r="BS3" s="449"/>
      <c r="BT3" s="450"/>
      <c r="BU3" s="450"/>
      <c r="BV3" s="363"/>
      <c r="BW3" s="363"/>
      <c r="BX3" s="363"/>
      <c r="BY3" s="363"/>
      <c r="BZ3" s="363"/>
      <c r="CA3" s="363"/>
      <c r="CB3" s="450"/>
      <c r="CC3" s="450"/>
      <c r="CD3" s="363"/>
      <c r="CE3" s="363"/>
      <c r="CF3" s="363"/>
      <c r="CG3" s="363"/>
      <c r="CH3" s="363"/>
      <c r="CI3" s="363"/>
      <c r="CJ3" s="363"/>
      <c r="CK3" s="363"/>
      <c r="CL3" s="363"/>
      <c r="CM3" s="363"/>
      <c r="CN3" s="363"/>
      <c r="CO3" s="363"/>
      <c r="CP3" s="363"/>
      <c r="CQ3" s="363"/>
      <c r="CR3" s="363"/>
      <c r="CS3" s="364"/>
      <c r="CT3" s="364"/>
    </row>
    <row r="4" spans="3:51" ht="3.75" customHeight="1">
      <c r="C4" s="501"/>
      <c r="D4" s="501"/>
      <c r="E4" s="405"/>
      <c r="F4" s="405"/>
      <c r="G4" s="405"/>
      <c r="H4" s="348"/>
      <c r="I4" s="353"/>
      <c r="J4" s="433"/>
      <c r="K4" s="353"/>
      <c r="L4" s="433"/>
      <c r="M4" s="353"/>
      <c r="N4" s="433"/>
      <c r="O4" s="353"/>
      <c r="P4" s="433"/>
      <c r="Q4" s="353"/>
      <c r="R4" s="433"/>
      <c r="S4" s="353"/>
      <c r="T4" s="433"/>
      <c r="U4" s="353"/>
      <c r="V4" s="433"/>
      <c r="W4" s="353"/>
      <c r="X4" s="348"/>
      <c r="Y4" s="353"/>
      <c r="Z4" s="348"/>
      <c r="AA4" s="353"/>
      <c r="AB4" s="348"/>
      <c r="AC4" s="353"/>
      <c r="AD4" s="348"/>
      <c r="AE4" s="353"/>
      <c r="AF4" s="348"/>
      <c r="AG4" s="353"/>
      <c r="AH4" s="348"/>
      <c r="AI4" s="353"/>
      <c r="AJ4" s="433"/>
      <c r="AK4" s="353"/>
      <c r="AL4" s="348"/>
      <c r="AM4" s="353"/>
      <c r="AN4" s="502"/>
      <c r="AT4" s="348"/>
      <c r="AV4" s="348"/>
      <c r="AY4" s="330"/>
    </row>
    <row r="5" spans="1:96" s="445" customFormat="1" ht="17.25" customHeight="1">
      <c r="A5" s="444"/>
      <c r="B5" s="190">
        <v>9</v>
      </c>
      <c r="C5" s="756" t="s">
        <v>145</v>
      </c>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317"/>
      <c r="AP5" s="317"/>
      <c r="AQ5" s="317"/>
      <c r="AR5" s="317"/>
      <c r="AS5" s="317"/>
      <c r="AT5" s="368"/>
      <c r="AU5" s="367"/>
      <c r="AV5" s="368"/>
      <c r="AW5" s="367"/>
      <c r="AX5" s="451"/>
      <c r="AY5" s="369" t="s">
        <v>61</v>
      </c>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row>
    <row r="6" spans="1:96"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376" t="s">
        <v>51</v>
      </c>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row>
    <row r="7" spans="2:96"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Y7" s="243" t="s">
        <v>347</v>
      </c>
      <c r="AZ7" s="243" t="s">
        <v>349</v>
      </c>
      <c r="BA7" s="243" t="s">
        <v>352</v>
      </c>
      <c r="BB7" s="243">
        <v>1990</v>
      </c>
      <c r="BC7" s="243"/>
      <c r="BD7" s="243">
        <v>1995</v>
      </c>
      <c r="BE7" s="243"/>
      <c r="BF7" s="243">
        <v>1996</v>
      </c>
      <c r="BG7" s="243"/>
      <c r="BH7" s="243">
        <v>1997</v>
      </c>
      <c r="BI7" s="243"/>
      <c r="BJ7" s="243">
        <v>1998</v>
      </c>
      <c r="BK7" s="243"/>
      <c r="BL7" s="243">
        <v>1999</v>
      </c>
      <c r="BM7" s="243"/>
      <c r="BN7" s="243">
        <v>2000</v>
      </c>
      <c r="BO7" s="243"/>
      <c r="BP7" s="243">
        <v>2001</v>
      </c>
      <c r="BQ7" s="243"/>
      <c r="BR7" s="243">
        <v>2002</v>
      </c>
      <c r="BS7" s="243"/>
      <c r="BT7" s="243">
        <v>2003</v>
      </c>
      <c r="BU7" s="243"/>
      <c r="BV7" s="243">
        <v>2004</v>
      </c>
      <c r="BW7" s="243"/>
      <c r="BX7" s="243">
        <v>2005</v>
      </c>
      <c r="BY7" s="243"/>
      <c r="BZ7" s="243">
        <v>2006</v>
      </c>
      <c r="CA7" s="243"/>
      <c r="CB7" s="243">
        <v>2007</v>
      </c>
      <c r="CC7" s="243"/>
      <c r="CD7" s="243">
        <v>2008</v>
      </c>
      <c r="CE7" s="243"/>
      <c r="CF7" s="243">
        <v>2009</v>
      </c>
      <c r="CG7" s="243"/>
      <c r="CH7" s="243">
        <v>2010</v>
      </c>
      <c r="CI7" s="243"/>
      <c r="CJ7" s="243">
        <v>2011</v>
      </c>
      <c r="CK7" s="243"/>
      <c r="CL7" s="243">
        <v>2012</v>
      </c>
      <c r="CM7" s="243"/>
      <c r="CN7" s="243">
        <v>2013</v>
      </c>
      <c r="CO7" s="243"/>
      <c r="CP7" s="243">
        <v>2014</v>
      </c>
      <c r="CQ7" s="243"/>
      <c r="CR7" s="243">
        <v>2015</v>
      </c>
    </row>
    <row r="8" spans="1:96" s="472" customFormat="1" ht="36" customHeight="1">
      <c r="A8" s="396" t="s">
        <v>76</v>
      </c>
      <c r="B8" s="247">
        <v>163</v>
      </c>
      <c r="C8" s="460">
        <v>1</v>
      </c>
      <c r="D8" s="562" t="s">
        <v>10</v>
      </c>
      <c r="E8" s="250" t="s">
        <v>321</v>
      </c>
      <c r="F8" s="613"/>
      <c r="G8" s="627"/>
      <c r="H8" s="613"/>
      <c r="I8" s="627"/>
      <c r="J8" s="613"/>
      <c r="K8" s="627"/>
      <c r="L8" s="613"/>
      <c r="M8" s="627"/>
      <c r="N8" s="613"/>
      <c r="O8" s="627"/>
      <c r="P8" s="613"/>
      <c r="Q8" s="627"/>
      <c r="R8" s="613"/>
      <c r="S8" s="627"/>
      <c r="T8" s="613"/>
      <c r="U8" s="627"/>
      <c r="V8" s="613"/>
      <c r="W8" s="627"/>
      <c r="X8" s="613"/>
      <c r="Y8" s="627"/>
      <c r="Z8" s="613"/>
      <c r="AA8" s="627"/>
      <c r="AB8" s="613"/>
      <c r="AC8" s="627"/>
      <c r="AD8" s="613"/>
      <c r="AE8" s="627"/>
      <c r="AF8" s="613"/>
      <c r="AG8" s="627"/>
      <c r="AH8" s="613"/>
      <c r="AI8" s="627"/>
      <c r="AJ8" s="613"/>
      <c r="AK8" s="627"/>
      <c r="AL8" s="613"/>
      <c r="AM8" s="627"/>
      <c r="AN8" s="613"/>
      <c r="AO8" s="627"/>
      <c r="AP8" s="613"/>
      <c r="AQ8" s="627"/>
      <c r="AR8" s="613"/>
      <c r="AS8" s="627"/>
      <c r="AT8" s="613"/>
      <c r="AU8" s="627"/>
      <c r="AV8" s="613"/>
      <c r="AW8" s="627"/>
      <c r="AY8" s="408">
        <v>1</v>
      </c>
      <c r="AZ8" s="563" t="s">
        <v>10</v>
      </c>
      <c r="BA8" s="101" t="s">
        <v>321</v>
      </c>
      <c r="BB8" s="101" t="s">
        <v>97</v>
      </c>
      <c r="BC8" s="646"/>
      <c r="BD8" s="82" t="str">
        <f>IF(OR(ISBLANK(F8),ISBLANK(H8)),"N/A",IF(ABS(H8-F8)&gt;100,"&gt; 100%","ok"))</f>
        <v>N/A</v>
      </c>
      <c r="BE8" s="646"/>
      <c r="BF8" s="82" t="str">
        <f>IF(OR(ISBLANK(H8),ISBLANK(J8)),"N/A",IF(ABS(J8-H8)&gt;25,"&gt; 25%","ok"))</f>
        <v>N/A</v>
      </c>
      <c r="BG8" s="82"/>
      <c r="BH8" s="82" t="str">
        <f>IF(OR(ISBLANK(J8),ISBLANK(L8)),"N/A",IF(ABS(L8-J8)&gt;25,"&gt; 25%","ok"))</f>
        <v>N/A</v>
      </c>
      <c r="BI8" s="82"/>
      <c r="BJ8" s="82" t="str">
        <f>IF(OR(ISBLANK(L8),ISBLANK(N8)),"N/A",IF(ABS(N8-L8)&gt;25,"&gt; 25%","ok"))</f>
        <v>N/A</v>
      </c>
      <c r="BK8" s="82"/>
      <c r="BL8" s="82" t="str">
        <f>IF(OR(ISBLANK(N8),ISBLANK(P8)),"N/A",IF(ABS(P8-N8)&gt;25,"&gt; 25%","ok"))</f>
        <v>N/A</v>
      </c>
      <c r="BM8" s="82"/>
      <c r="BN8" s="82" t="str">
        <f>IF(OR(ISBLANK(P8),ISBLANK(R8)),"N/A",IF(ABS(R8-P8)&gt;25,"&gt; 25%","ok"))</f>
        <v>N/A</v>
      </c>
      <c r="BO8" s="82"/>
      <c r="BP8" s="82" t="str">
        <f>IF(OR(ISBLANK(R8),ISBLANK(T8)),"N/A",IF(ABS(T8-R8)&gt;25,"&gt; 25%","ok"))</f>
        <v>N/A</v>
      </c>
      <c r="BQ8" s="82"/>
      <c r="BR8" s="82" t="str">
        <f>IF(OR(ISBLANK(T8),ISBLANK(V8)),"N/A",IF(ABS(V8-T8)&gt;25,"&gt; 25%","ok"))</f>
        <v>N/A</v>
      </c>
      <c r="BS8" s="82"/>
      <c r="BT8" s="82" t="str">
        <f>IF(OR(ISBLANK(V8),ISBLANK(X8)),"N/A",IF(ABS(X8-V8)&gt;25,"&gt; 25%","ok"))</f>
        <v>N/A</v>
      </c>
      <c r="BU8" s="82"/>
      <c r="BV8" s="82" t="str">
        <f>IF(OR(ISBLANK(X8),ISBLANK(Z8)),"N/A",IF(ABS(Z8-X8)&gt;25,"&gt; 25%","ok"))</f>
        <v>N/A</v>
      </c>
      <c r="BW8" s="82"/>
      <c r="BX8" s="82" t="str">
        <f>IF(OR(ISBLANK(Z8),ISBLANK(AB8)),"N/A",IF(ABS(AB8-Z8)&gt;25,"&gt; 25%","ok"))</f>
        <v>N/A</v>
      </c>
      <c r="BY8" s="82"/>
      <c r="BZ8" s="82" t="str">
        <f>IF(OR(ISBLANK(AB8),ISBLANK(AD8)),"N/A",IF(ABS(AD8-AB8)&gt;25,"&gt; 25%","ok"))</f>
        <v>N/A</v>
      </c>
      <c r="CA8" s="82"/>
      <c r="CB8" s="82" t="str">
        <f>IF(OR(ISBLANK(AD8),ISBLANK(AF8)),"N/A",IF(ABS(AF8-AD8)&gt;25,"&gt; 25%","ok"))</f>
        <v>N/A</v>
      </c>
      <c r="CC8" s="82"/>
      <c r="CD8" s="82" t="str">
        <f>IF(OR(ISBLANK(AF8),ISBLANK(AH8)),"N/A",IF(ABS(AH8-AF8)&gt;25,"&gt; 25%","ok"))</f>
        <v>N/A</v>
      </c>
      <c r="CE8" s="82"/>
      <c r="CF8" s="82" t="str">
        <f>IF(OR(ISBLANK(AH8),ISBLANK(AJ8)),"N/A",IF(ABS(AJ8-AH8)&gt;25,"&gt; 25%","ok"))</f>
        <v>N/A</v>
      </c>
      <c r="CG8" s="82"/>
      <c r="CH8" s="82" t="str">
        <f>IF(OR(ISBLANK(AJ8),ISBLANK(AL8)),"N/A",IF(ABS(AL8-AJ8)&gt;25,"&gt; 25%","ok"))</f>
        <v>N/A</v>
      </c>
      <c r="CI8" s="82"/>
      <c r="CJ8" s="82" t="str">
        <f>IF(OR(ISBLANK(AL8),ISBLANK(AN8)),"N/A",IF(ABS(AN8-AL8)&gt;25,"&gt; 25%","ok"))</f>
        <v>N/A</v>
      </c>
      <c r="CK8" s="82"/>
      <c r="CL8" s="82" t="str">
        <f>IF(OR(ISBLANK(AN8),ISBLANK(AP8)),"N/A",IF(ABS(AP8-AN8)&gt;25,"&gt; 25%","ok"))</f>
        <v>N/A</v>
      </c>
      <c r="CM8" s="82"/>
      <c r="CN8" s="82" t="str">
        <f>IF(OR(ISBLANK(AP8),ISBLANK(AR8)),"N/A",IF(ABS(AR8-AP8)&gt;25,"&gt; 25%","ok"))</f>
        <v>N/A</v>
      </c>
      <c r="CO8" s="82"/>
      <c r="CP8" s="82" t="str">
        <f>IF(OR(ISBLANK(AR8),ISBLANK(AT8)),"N/A",IF(ABS(AT8-AR8)&gt;25,"&gt; 25%","ok"))</f>
        <v>N/A</v>
      </c>
      <c r="CQ8" s="82"/>
      <c r="CR8" s="82" t="str">
        <f>IF(OR(ISBLANK(AT8),ISBLANK(AV8)),"N/A",IF(ABS(AV8-AT8)&gt;25,"&gt; 25%","ok"))</f>
        <v>N/A</v>
      </c>
    </row>
    <row r="9" spans="1:96" ht="36" customHeight="1">
      <c r="A9" s="189" t="s">
        <v>76</v>
      </c>
      <c r="B9" s="247">
        <v>164</v>
      </c>
      <c r="C9" s="384">
        <v>2</v>
      </c>
      <c r="D9" s="564" t="s">
        <v>11</v>
      </c>
      <c r="E9" s="250" t="s">
        <v>321</v>
      </c>
      <c r="F9" s="613"/>
      <c r="G9" s="627"/>
      <c r="H9" s="613"/>
      <c r="I9" s="627"/>
      <c r="J9" s="613"/>
      <c r="K9" s="627"/>
      <c r="L9" s="613"/>
      <c r="M9" s="627"/>
      <c r="N9" s="613"/>
      <c r="O9" s="627"/>
      <c r="P9" s="613"/>
      <c r="Q9" s="627"/>
      <c r="R9" s="613"/>
      <c r="S9" s="627"/>
      <c r="T9" s="613"/>
      <c r="U9" s="627"/>
      <c r="V9" s="613"/>
      <c r="W9" s="627"/>
      <c r="X9" s="613"/>
      <c r="Y9" s="627"/>
      <c r="Z9" s="613"/>
      <c r="AA9" s="627"/>
      <c r="AB9" s="613"/>
      <c r="AC9" s="627"/>
      <c r="AD9" s="613"/>
      <c r="AE9" s="627"/>
      <c r="AF9" s="613"/>
      <c r="AG9" s="627"/>
      <c r="AH9" s="613"/>
      <c r="AI9" s="627"/>
      <c r="AJ9" s="613"/>
      <c r="AK9" s="627"/>
      <c r="AL9" s="613"/>
      <c r="AM9" s="627"/>
      <c r="AN9" s="613"/>
      <c r="AO9" s="627"/>
      <c r="AP9" s="613"/>
      <c r="AQ9" s="627"/>
      <c r="AR9" s="613"/>
      <c r="AS9" s="627"/>
      <c r="AT9" s="613"/>
      <c r="AU9" s="627"/>
      <c r="AV9" s="613"/>
      <c r="AW9" s="627"/>
      <c r="AY9" s="388">
        <v>2</v>
      </c>
      <c r="AZ9" s="565" t="s">
        <v>11</v>
      </c>
      <c r="BA9" s="101" t="s">
        <v>321</v>
      </c>
      <c r="BB9" s="101" t="s">
        <v>97</v>
      </c>
      <c r="BC9" s="646"/>
      <c r="BD9" s="82" t="str">
        <f>IF(OR(ISBLANK(F9),ISBLANK(H9)),"N/A",IF(ABS(H9-F9)&gt;100,"&gt; 100%","ok"))</f>
        <v>N/A</v>
      </c>
      <c r="BE9" s="646"/>
      <c r="BF9" s="82" t="str">
        <f>IF(OR(ISBLANK(H9),ISBLANK(J9)),"N/A",IF(ABS(J9-H9)&gt;25,"&gt; 25%","ok"))</f>
        <v>N/A</v>
      </c>
      <c r="BG9" s="82"/>
      <c r="BH9" s="82" t="str">
        <f>IF(OR(ISBLANK(J9),ISBLANK(L9)),"N/A",IF(ABS(L9-J9)&gt;25,"&gt; 25%","ok"))</f>
        <v>N/A</v>
      </c>
      <c r="BI9" s="82"/>
      <c r="BJ9" s="82" t="str">
        <f>IF(OR(ISBLANK(L9),ISBLANK(N9)),"N/A",IF(ABS(N9-L9)&gt;25,"&gt; 25%","ok"))</f>
        <v>N/A</v>
      </c>
      <c r="BK9" s="82"/>
      <c r="BL9" s="82" t="str">
        <f>IF(OR(ISBLANK(N9),ISBLANK(P9)),"N/A",IF(ABS(P9-N9)&gt;25,"&gt; 25%","ok"))</f>
        <v>N/A</v>
      </c>
      <c r="BM9" s="82"/>
      <c r="BN9" s="82" t="str">
        <f>IF(OR(ISBLANK(P9),ISBLANK(R9)),"N/A",IF(ABS(R9-P9)&gt;25,"&gt; 25%","ok"))</f>
        <v>N/A</v>
      </c>
      <c r="BO9" s="82"/>
      <c r="BP9" s="82" t="str">
        <f>IF(OR(ISBLANK(R9),ISBLANK(T9)),"N/A",IF(ABS(T9-R9)&gt;25,"&gt; 25%","ok"))</f>
        <v>N/A</v>
      </c>
      <c r="BQ9" s="82"/>
      <c r="BR9" s="82" t="str">
        <f>IF(OR(ISBLANK(T9),ISBLANK(V9)),"N/A",IF(ABS(V9-T9)&gt;25,"&gt; 25%","ok"))</f>
        <v>N/A</v>
      </c>
      <c r="BS9" s="82"/>
      <c r="BT9" s="82" t="str">
        <f>IF(OR(ISBLANK(V9),ISBLANK(X9)),"N/A",IF(ABS(X9-V9)&gt;25,"&gt; 25%","ok"))</f>
        <v>N/A</v>
      </c>
      <c r="BU9" s="82"/>
      <c r="BV9" s="82" t="str">
        <f>IF(OR(ISBLANK(X9),ISBLANK(Z9)),"N/A",IF(ABS(Z9-X9)&gt;25,"&gt; 25%","ok"))</f>
        <v>N/A</v>
      </c>
      <c r="BW9" s="82"/>
      <c r="BX9" s="82" t="str">
        <f>IF(OR(ISBLANK(Z9),ISBLANK(AB9)),"N/A",IF(ABS(AB9-Z9)&gt;25,"&gt; 25%","ok"))</f>
        <v>N/A</v>
      </c>
      <c r="BY9" s="82"/>
      <c r="BZ9" s="82" t="str">
        <f>IF(OR(ISBLANK(AB9),ISBLANK(AD9)),"N/A",IF(ABS(AD9-AB9)&gt;25,"&gt; 25%","ok"))</f>
        <v>N/A</v>
      </c>
      <c r="CA9" s="82"/>
      <c r="CB9" s="82" t="str">
        <f>IF(OR(ISBLANK(AD9),ISBLANK(AF9)),"N/A",IF(ABS(AF9-AD9)&gt;25,"&gt; 25%","ok"))</f>
        <v>N/A</v>
      </c>
      <c r="CC9" s="82"/>
      <c r="CD9" s="82" t="str">
        <f>IF(OR(ISBLANK(AF9),ISBLANK(AH9)),"N/A",IF(ABS(AH9-AF9)&gt;25,"&gt; 25%","ok"))</f>
        <v>N/A</v>
      </c>
      <c r="CE9" s="82"/>
      <c r="CF9" s="82" t="str">
        <f>IF(OR(ISBLANK(AH9),ISBLANK(AJ9)),"N/A",IF(ABS(AJ9-AH9)&gt;25,"&gt; 25%","ok"))</f>
        <v>N/A</v>
      </c>
      <c r="CG9" s="82"/>
      <c r="CH9" s="82" t="str">
        <f>IF(OR(ISBLANK(AJ9),ISBLANK(AL9)),"N/A",IF(ABS(AL9-AJ9)&gt;25,"&gt; 25%","ok"))</f>
        <v>N/A</v>
      </c>
      <c r="CI9" s="82"/>
      <c r="CJ9" s="82" t="str">
        <f>IF(OR(ISBLANK(AL9),ISBLANK(AN9)),"N/A",IF(ABS(AN9-AL9)&gt;25,"&gt; 25%","ok"))</f>
        <v>N/A</v>
      </c>
      <c r="CK9" s="82"/>
      <c r="CL9" s="82" t="str">
        <f>IF(OR(ISBLANK(AN9),ISBLANK(AP9)),"N/A",IF(ABS(AP9-AN9)&gt;25,"&gt; 25%","ok"))</f>
        <v>N/A</v>
      </c>
      <c r="CM9" s="82"/>
      <c r="CN9" s="82" t="str">
        <f>IF(OR(ISBLANK(AP9),ISBLANK(AR9)),"N/A",IF(ABS(AR9-AP9)&gt;25,"&gt; 25%","ok"))</f>
        <v>N/A</v>
      </c>
      <c r="CO9" s="82"/>
      <c r="CP9" s="82" t="str">
        <f>IF(OR(ISBLANK(AR9),ISBLANK(AT9)),"N/A",IF(ABS(AT9-AR9)&gt;25,"&gt; 25%","ok"))</f>
        <v>N/A</v>
      </c>
      <c r="CQ9" s="82"/>
      <c r="CR9" s="82" t="str">
        <f>IF(OR(ISBLANK(AT9),ISBLANK(AV9)),"N/A",IF(ABS(AV9-AT9)&gt;25,"&gt; 25%","ok"))</f>
        <v>N/A</v>
      </c>
    </row>
    <row r="10" spans="2:96" ht="36" customHeight="1">
      <c r="B10" s="247">
        <v>296</v>
      </c>
      <c r="C10" s="250">
        <v>3</v>
      </c>
      <c r="D10" s="566" t="s">
        <v>574</v>
      </c>
      <c r="E10" s="250" t="s">
        <v>321</v>
      </c>
      <c r="F10" s="611"/>
      <c r="G10" s="624"/>
      <c r="H10" s="611"/>
      <c r="I10" s="624"/>
      <c r="J10" s="611"/>
      <c r="K10" s="624"/>
      <c r="L10" s="611"/>
      <c r="M10" s="624"/>
      <c r="N10" s="611"/>
      <c r="O10" s="624"/>
      <c r="P10" s="611"/>
      <c r="Q10" s="624"/>
      <c r="R10" s="611"/>
      <c r="S10" s="624"/>
      <c r="T10" s="611"/>
      <c r="U10" s="624"/>
      <c r="V10" s="611"/>
      <c r="W10" s="624"/>
      <c r="X10" s="611"/>
      <c r="Y10" s="624"/>
      <c r="Z10" s="611"/>
      <c r="AA10" s="624"/>
      <c r="AB10" s="611"/>
      <c r="AC10" s="624"/>
      <c r="AD10" s="611"/>
      <c r="AE10" s="624"/>
      <c r="AF10" s="611"/>
      <c r="AG10" s="624"/>
      <c r="AH10" s="611"/>
      <c r="AI10" s="624"/>
      <c r="AJ10" s="611"/>
      <c r="AK10" s="624"/>
      <c r="AL10" s="611"/>
      <c r="AM10" s="624"/>
      <c r="AN10" s="611"/>
      <c r="AO10" s="624"/>
      <c r="AP10" s="611"/>
      <c r="AQ10" s="624"/>
      <c r="AR10" s="611"/>
      <c r="AS10" s="624"/>
      <c r="AT10" s="611"/>
      <c r="AU10" s="624"/>
      <c r="AV10" s="611"/>
      <c r="AW10" s="624"/>
      <c r="AY10" s="101">
        <v>3</v>
      </c>
      <c r="AZ10" s="567" t="s">
        <v>574</v>
      </c>
      <c r="BA10" s="101" t="s">
        <v>321</v>
      </c>
      <c r="BB10" s="84" t="s">
        <v>97</v>
      </c>
      <c r="BC10" s="647"/>
      <c r="BD10" s="82" t="str">
        <f>IF(OR(ISBLANK(F10),ISBLANK(H10)),"N/A",IF(ABS(H10-F10)&gt;100,"&gt; 100%","ok"))</f>
        <v>N/A</v>
      </c>
      <c r="BE10" s="647"/>
      <c r="BF10" s="82" t="str">
        <f>IF(OR(ISBLANK(H10),ISBLANK(J10)),"N/A",IF(ABS(J10-H10)&gt;25,"&gt; 25%","ok"))</f>
        <v>N/A</v>
      </c>
      <c r="BG10" s="82"/>
      <c r="BH10" s="82" t="str">
        <f>IF(OR(ISBLANK(J10),ISBLANK(L10)),"N/A",IF(ABS(L10-J10)&gt;25,"&gt; 25%","ok"))</f>
        <v>N/A</v>
      </c>
      <c r="BI10" s="82"/>
      <c r="BJ10" s="82" t="str">
        <f>IF(OR(ISBLANK(L10),ISBLANK(N10)),"N/A",IF(ABS(N10-L10)&gt;25,"&gt; 25%","ok"))</f>
        <v>N/A</v>
      </c>
      <c r="BK10" s="82"/>
      <c r="BL10" s="82" t="str">
        <f>IF(OR(ISBLANK(N10),ISBLANK(P10)),"N/A",IF(ABS(P10-N10)&gt;25,"&gt; 25%","ok"))</f>
        <v>N/A</v>
      </c>
      <c r="BM10" s="82"/>
      <c r="BN10" s="82" t="str">
        <f>IF(OR(ISBLANK(P10),ISBLANK(R10)),"N/A",IF(ABS(R10-P10)&gt;25,"&gt; 25%","ok"))</f>
        <v>N/A</v>
      </c>
      <c r="BO10" s="82"/>
      <c r="BP10" s="82" t="str">
        <f>IF(OR(ISBLANK(R10),ISBLANK(T10)),"N/A",IF(ABS(T10-R10)&gt;25,"&gt; 25%","ok"))</f>
        <v>N/A</v>
      </c>
      <c r="BQ10" s="82"/>
      <c r="BR10" s="82" t="str">
        <f>IF(OR(ISBLANK(T10),ISBLANK(V10)),"N/A",IF(ABS(V10-T10)&gt;25,"&gt; 25%","ok"))</f>
        <v>N/A</v>
      </c>
      <c r="BS10" s="82"/>
      <c r="BT10" s="82" t="str">
        <f>IF(OR(ISBLANK(V10),ISBLANK(X10)),"N/A",IF(ABS(X10-V10)&gt;25,"&gt; 25%","ok"))</f>
        <v>N/A</v>
      </c>
      <c r="BU10" s="82"/>
      <c r="BV10" s="82" t="str">
        <f>IF(OR(ISBLANK(X10),ISBLANK(Z10)),"N/A",IF(ABS(Z10-X10)&gt;25,"&gt; 25%","ok"))</f>
        <v>N/A</v>
      </c>
      <c r="BW10" s="82"/>
      <c r="BX10" s="82" t="str">
        <f>IF(OR(ISBLANK(Z10),ISBLANK(AB10)),"N/A",IF(ABS(AB10-Z10)&gt;25,"&gt; 25%","ok"))</f>
        <v>N/A</v>
      </c>
      <c r="BY10" s="82"/>
      <c r="BZ10" s="82" t="str">
        <f>IF(OR(ISBLANK(AB10),ISBLANK(AD10)),"N/A",IF(ABS(AD10-AB10)&gt;25,"&gt; 25%","ok"))</f>
        <v>N/A</v>
      </c>
      <c r="CA10" s="82"/>
      <c r="CB10" s="82" t="str">
        <f>IF(OR(ISBLANK(AD10),ISBLANK(AF10)),"N/A",IF(ABS(AF10-AD10)&gt;25,"&gt; 25%","ok"))</f>
        <v>N/A</v>
      </c>
      <c r="CC10" s="82"/>
      <c r="CD10" s="82" t="str">
        <f>IF(OR(ISBLANK(AF10),ISBLANK(AH10)),"N/A",IF(ABS(AH10-AF10)&gt;25,"&gt; 25%","ok"))</f>
        <v>N/A</v>
      </c>
      <c r="CE10" s="82"/>
      <c r="CF10" s="82" t="str">
        <f>IF(OR(ISBLANK(AH10),ISBLANK(AJ10)),"N/A",IF(ABS(AJ10-AH10)&gt;25,"&gt; 25%","ok"))</f>
        <v>N/A</v>
      </c>
      <c r="CG10" s="82"/>
      <c r="CH10" s="82" t="str">
        <f>IF(OR(ISBLANK(AJ10),ISBLANK(AL10)),"N/A",IF(ABS(AL10-AJ10)&gt;25,"&gt; 25%","ok"))</f>
        <v>N/A</v>
      </c>
      <c r="CI10" s="82"/>
      <c r="CJ10" s="82" t="str">
        <f>IF(OR(ISBLANK(AL10),ISBLANK(AN10)),"N/A",IF(ABS(AN10-AL10)&gt;25,"&gt; 25%","ok"))</f>
        <v>N/A</v>
      </c>
      <c r="CK10" s="82"/>
      <c r="CL10" s="82" t="str">
        <f>IF(OR(ISBLANK(AN10),ISBLANK(AP10)),"N/A",IF(ABS(AP10-AN10)&gt;25,"&gt; 25%","ok"))</f>
        <v>N/A</v>
      </c>
      <c r="CM10" s="82"/>
      <c r="CN10" s="82" t="str">
        <f>IF(OR(ISBLANK(AP10),ISBLANK(AR10)),"N/A",IF(ABS(AR10-AP10)&gt;25,"&gt; 25%","ok"))</f>
        <v>N/A</v>
      </c>
      <c r="CO10" s="82"/>
      <c r="CP10" s="82" t="str">
        <f>IF(OR(ISBLANK(AR10),ISBLANK(AT10)),"N/A",IF(ABS(AT10-AR10)&gt;25,"&gt; 25%","ok"))</f>
        <v>N/A</v>
      </c>
      <c r="CQ10" s="82"/>
      <c r="CR10" s="82" t="str">
        <f>IF(OR(ISBLANK(AT10),ISBLANK(AV10)),"N/A",IF(ABS(AV10-AT10)&gt;25,"&gt; 25%","ok"))</f>
        <v>N/A</v>
      </c>
    </row>
    <row r="11" spans="2:96" ht="36" customHeight="1">
      <c r="B11" s="247">
        <v>165</v>
      </c>
      <c r="C11" s="265">
        <v>4</v>
      </c>
      <c r="D11" s="273" t="s">
        <v>128</v>
      </c>
      <c r="E11" s="250" t="s">
        <v>321</v>
      </c>
      <c r="F11" s="611"/>
      <c r="G11" s="624"/>
      <c r="H11" s="611"/>
      <c r="I11" s="624"/>
      <c r="J11" s="611"/>
      <c r="K11" s="624"/>
      <c r="L11" s="611"/>
      <c r="M11" s="624"/>
      <c r="N11" s="611"/>
      <c r="O11" s="624"/>
      <c r="P11" s="611"/>
      <c r="Q11" s="624"/>
      <c r="R11" s="611"/>
      <c r="S11" s="624"/>
      <c r="T11" s="611"/>
      <c r="U11" s="624"/>
      <c r="V11" s="611"/>
      <c r="W11" s="624"/>
      <c r="X11" s="611"/>
      <c r="Y11" s="624"/>
      <c r="Z11" s="611"/>
      <c r="AA11" s="624"/>
      <c r="AB11" s="611"/>
      <c r="AC11" s="624"/>
      <c r="AD11" s="611"/>
      <c r="AE11" s="624"/>
      <c r="AF11" s="611"/>
      <c r="AG11" s="624"/>
      <c r="AH11" s="611"/>
      <c r="AI11" s="624"/>
      <c r="AJ11" s="611"/>
      <c r="AK11" s="624"/>
      <c r="AL11" s="611"/>
      <c r="AM11" s="624"/>
      <c r="AN11" s="611"/>
      <c r="AO11" s="624"/>
      <c r="AP11" s="611"/>
      <c r="AQ11" s="624"/>
      <c r="AR11" s="611"/>
      <c r="AS11" s="624"/>
      <c r="AT11" s="611"/>
      <c r="AU11" s="624"/>
      <c r="AV11" s="611"/>
      <c r="AW11" s="624"/>
      <c r="AY11" s="84">
        <v>4</v>
      </c>
      <c r="AZ11" s="274" t="s">
        <v>2</v>
      </c>
      <c r="BA11" s="101" t="s">
        <v>321</v>
      </c>
      <c r="BB11" s="84" t="s">
        <v>97</v>
      </c>
      <c r="BC11" s="647"/>
      <c r="BD11" s="82" t="str">
        <f>IF(OR(ISBLANK(F11),ISBLANK(H11)),"N/A",IF(ABS(H11-F11)&gt;100,"&gt; 100%","ok"))</f>
        <v>N/A</v>
      </c>
      <c r="BE11" s="647"/>
      <c r="BF11" s="82" t="str">
        <f>IF(OR(ISBLANK(H11),ISBLANK(J11)),"N/A",IF(ABS(J11-H11)&gt;25,"&gt; 25%","ok"))</f>
        <v>N/A</v>
      </c>
      <c r="BG11" s="82"/>
      <c r="BH11" s="82" t="str">
        <f>IF(OR(ISBLANK(J11),ISBLANK(L11)),"N/A",IF(ABS(L11-J11)&gt;25,"&gt; 25%","ok"))</f>
        <v>N/A</v>
      </c>
      <c r="BI11" s="82"/>
      <c r="BJ11" s="82" t="str">
        <f>IF(OR(ISBLANK(L11),ISBLANK(N11)),"N/A",IF(ABS(N11-L11)&gt;25,"&gt; 25%","ok"))</f>
        <v>N/A</v>
      </c>
      <c r="BK11" s="82"/>
      <c r="BL11" s="82" t="str">
        <f>IF(OR(ISBLANK(N11),ISBLANK(P11)),"N/A",IF(ABS(P11-N11)&gt;25,"&gt; 25%","ok"))</f>
        <v>N/A</v>
      </c>
      <c r="BM11" s="82"/>
      <c r="BN11" s="82" t="str">
        <f>IF(OR(ISBLANK(P11),ISBLANK(R11)),"N/A",IF(ABS(R11-P11)&gt;25,"&gt; 25%","ok"))</f>
        <v>N/A</v>
      </c>
      <c r="BO11" s="82"/>
      <c r="BP11" s="82" t="str">
        <f>IF(OR(ISBLANK(R11),ISBLANK(T11)),"N/A",IF(ABS(T11-R11)&gt;25,"&gt; 25%","ok"))</f>
        <v>N/A</v>
      </c>
      <c r="BQ11" s="82"/>
      <c r="BR11" s="82" t="str">
        <f>IF(OR(ISBLANK(T11),ISBLANK(V11)),"N/A",IF(ABS(V11-T11)&gt;25,"&gt; 25%","ok"))</f>
        <v>N/A</v>
      </c>
      <c r="BS11" s="82"/>
      <c r="BT11" s="82" t="str">
        <f>IF(OR(ISBLANK(V11),ISBLANK(X11)),"N/A",IF(ABS(X11-V11)&gt;25,"&gt; 25%","ok"))</f>
        <v>N/A</v>
      </c>
      <c r="BU11" s="82"/>
      <c r="BV11" s="82" t="str">
        <f>IF(OR(ISBLANK(X11),ISBLANK(Z11)),"N/A",IF(ABS(Z11-X11)&gt;25,"&gt; 25%","ok"))</f>
        <v>N/A</v>
      </c>
      <c r="BW11" s="82"/>
      <c r="BX11" s="82" t="str">
        <f>IF(OR(ISBLANK(Z11),ISBLANK(AB11)),"N/A",IF(ABS(AB11-Z11)&gt;25,"&gt; 25%","ok"))</f>
        <v>N/A</v>
      </c>
      <c r="BY11" s="82"/>
      <c r="BZ11" s="82" t="str">
        <f>IF(OR(ISBLANK(AB11),ISBLANK(AD11)),"N/A",IF(ABS(AD11-AB11)&gt;25,"&gt; 25%","ok"))</f>
        <v>N/A</v>
      </c>
      <c r="CA11" s="82"/>
      <c r="CB11" s="82" t="str">
        <f>IF(OR(ISBLANK(AD11),ISBLANK(AF11)),"N/A",IF(ABS(AF11-AD11)&gt;25,"&gt; 25%","ok"))</f>
        <v>N/A</v>
      </c>
      <c r="CC11" s="82"/>
      <c r="CD11" s="82" t="str">
        <f>IF(OR(ISBLANK(AF11),ISBLANK(AH11)),"N/A",IF(ABS(AH11-AF11)&gt;25,"&gt; 25%","ok"))</f>
        <v>N/A</v>
      </c>
      <c r="CE11" s="82"/>
      <c r="CF11" s="82" t="str">
        <f>IF(OR(ISBLANK(AH11),ISBLANK(AJ11)),"N/A",IF(ABS(AJ11-AH11)&gt;25,"&gt; 25%","ok"))</f>
        <v>N/A</v>
      </c>
      <c r="CG11" s="82"/>
      <c r="CH11" s="82" t="str">
        <f>IF(OR(ISBLANK(AJ11),ISBLANK(AL11)),"N/A",IF(ABS(AL11-AJ11)&gt;25,"&gt; 25%","ok"))</f>
        <v>N/A</v>
      </c>
      <c r="CI11" s="82"/>
      <c r="CJ11" s="82" t="str">
        <f>IF(OR(ISBLANK(AL11),ISBLANK(AN11)),"N/A",IF(ABS(AN11-AL11)&gt;25,"&gt; 25%","ok"))</f>
        <v>N/A</v>
      </c>
      <c r="CK11" s="82"/>
      <c r="CL11" s="82" t="str">
        <f>IF(OR(ISBLANK(AN11),ISBLANK(AP11)),"N/A",IF(ABS(AP11-AN11)&gt;25,"&gt; 25%","ok"))</f>
        <v>N/A</v>
      </c>
      <c r="CM11" s="82"/>
      <c r="CN11" s="82" t="str">
        <f>IF(OR(ISBLANK(AP11),ISBLANK(AR11)),"N/A",IF(ABS(AR11-AP11)&gt;25,"&gt; 25%","ok"))</f>
        <v>N/A</v>
      </c>
      <c r="CO11" s="82"/>
      <c r="CP11" s="82" t="str">
        <f>IF(OR(ISBLANK(AR11),ISBLANK(AT11)),"N/A",IF(ABS(AT11-AR11)&gt;25,"&gt; 25%","ok"))</f>
        <v>N/A</v>
      </c>
      <c r="CQ11" s="82"/>
      <c r="CR11" s="82" t="str">
        <f>IF(OR(ISBLANK(AT11),ISBLANK(AV11)),"N/A",IF(ABS(AV11-AT11)&gt;25,"&gt; 25%","ok"))</f>
        <v>N/A</v>
      </c>
    </row>
    <row r="12" spans="2:96" ht="36" customHeight="1">
      <c r="B12" s="247">
        <v>298</v>
      </c>
      <c r="C12" s="403">
        <v>5</v>
      </c>
      <c r="D12" s="277" t="s">
        <v>75</v>
      </c>
      <c r="E12" s="403" t="s">
        <v>321</v>
      </c>
      <c r="F12" s="615"/>
      <c r="G12" s="630"/>
      <c r="H12" s="615"/>
      <c r="I12" s="630"/>
      <c r="J12" s="615"/>
      <c r="K12" s="630"/>
      <c r="L12" s="615"/>
      <c r="M12" s="630"/>
      <c r="N12" s="615"/>
      <c r="O12" s="630"/>
      <c r="P12" s="615"/>
      <c r="Q12" s="630"/>
      <c r="R12" s="615"/>
      <c r="S12" s="630"/>
      <c r="T12" s="615"/>
      <c r="U12" s="630"/>
      <c r="V12" s="615"/>
      <c r="W12" s="630"/>
      <c r="X12" s="615"/>
      <c r="Y12" s="630"/>
      <c r="Z12" s="615"/>
      <c r="AA12" s="630"/>
      <c r="AB12" s="615"/>
      <c r="AC12" s="630"/>
      <c r="AD12" s="615"/>
      <c r="AE12" s="630"/>
      <c r="AF12" s="615"/>
      <c r="AG12" s="630"/>
      <c r="AH12" s="615"/>
      <c r="AI12" s="630"/>
      <c r="AJ12" s="615"/>
      <c r="AK12" s="630"/>
      <c r="AL12" s="615"/>
      <c r="AM12" s="630"/>
      <c r="AN12" s="615"/>
      <c r="AO12" s="630"/>
      <c r="AP12" s="615"/>
      <c r="AQ12" s="630"/>
      <c r="AR12" s="615"/>
      <c r="AS12" s="630"/>
      <c r="AT12" s="615"/>
      <c r="AU12" s="630"/>
      <c r="AV12" s="615"/>
      <c r="AW12" s="630"/>
      <c r="AY12" s="99">
        <v>5</v>
      </c>
      <c r="AZ12" s="473" t="s">
        <v>75</v>
      </c>
      <c r="BA12" s="99" t="s">
        <v>321</v>
      </c>
      <c r="BB12" s="99" t="s">
        <v>97</v>
      </c>
      <c r="BC12" s="650"/>
      <c r="BD12" s="82" t="str">
        <f>IF(OR(ISBLANK(F12),ISBLANK(H12)),"N/A",IF(ABS(H12-F12)&gt;100,"&gt; 100%","ok"))</f>
        <v>N/A</v>
      </c>
      <c r="BE12" s="650"/>
      <c r="BF12" s="83" t="str">
        <f>IF(OR(ISBLANK(H12),ISBLANK(J12)),"N/A",IF(ABS(J12-H12)&gt;25,"&gt; 25%","ok"))</f>
        <v>N/A</v>
      </c>
      <c r="BG12" s="83"/>
      <c r="BH12" s="83" t="str">
        <f>IF(OR(ISBLANK(J12),ISBLANK(L12)),"N/A",IF(ABS(L12-J12)&gt;25,"&gt; 25%","ok"))</f>
        <v>N/A</v>
      </c>
      <c r="BI12" s="83"/>
      <c r="BJ12" s="83" t="str">
        <f>IF(OR(ISBLANK(L12),ISBLANK(N12)),"N/A",IF(ABS(N12-L12)&gt;25,"&gt; 25%","ok"))</f>
        <v>N/A</v>
      </c>
      <c r="BK12" s="83"/>
      <c r="BL12" s="83" t="str">
        <f>IF(OR(ISBLANK(N12),ISBLANK(P12)),"N/A",IF(ABS(P12-N12)&gt;25,"&gt; 25%","ok"))</f>
        <v>N/A</v>
      </c>
      <c r="BM12" s="83"/>
      <c r="BN12" s="83" t="str">
        <f>IF(OR(ISBLANK(P12),ISBLANK(R12)),"N/A",IF(ABS(R12-P12)&gt;25,"&gt; 25%","ok"))</f>
        <v>N/A</v>
      </c>
      <c r="BO12" s="83"/>
      <c r="BP12" s="83" t="str">
        <f>IF(OR(ISBLANK(R12),ISBLANK(T12)),"N/A",IF(ABS(T12-R12)&gt;25,"&gt; 25%","ok"))</f>
        <v>N/A</v>
      </c>
      <c r="BQ12" s="83"/>
      <c r="BR12" s="83" t="str">
        <f>IF(OR(ISBLANK(T12),ISBLANK(V12)),"N/A",IF(ABS(V12-T12)&gt;25,"&gt; 25%","ok"))</f>
        <v>N/A</v>
      </c>
      <c r="BS12" s="83"/>
      <c r="BT12" s="83" t="str">
        <f>IF(OR(ISBLANK(V12),ISBLANK(X12)),"N/A",IF(ABS(X12-V12)&gt;25,"&gt; 25%","ok"))</f>
        <v>N/A</v>
      </c>
      <c r="BU12" s="83"/>
      <c r="BV12" s="83" t="str">
        <f>IF(OR(ISBLANK(X12),ISBLANK(Z12)),"N/A",IF(ABS(Z12-X12)&gt;25,"&gt; 25%","ok"))</f>
        <v>N/A</v>
      </c>
      <c r="BW12" s="83"/>
      <c r="BX12" s="83" t="str">
        <f>IF(OR(ISBLANK(Z12),ISBLANK(AB12)),"N/A",IF(ABS(AB12-Z12)&gt;25,"&gt; 25%","ok"))</f>
        <v>N/A</v>
      </c>
      <c r="BY12" s="83"/>
      <c r="BZ12" s="83" t="str">
        <f>IF(OR(ISBLANK(AB12),ISBLANK(AD12)),"N/A",IF(ABS(AD12-AB12)&gt;25,"&gt; 25%","ok"))</f>
        <v>N/A</v>
      </c>
      <c r="CA12" s="83"/>
      <c r="CB12" s="83" t="str">
        <f>IF(OR(ISBLANK(AD12),ISBLANK(AF12)),"N/A",IF(ABS(AF12-AD12)&gt;25,"&gt; 25%","ok"))</f>
        <v>N/A</v>
      </c>
      <c r="CC12" s="83"/>
      <c r="CD12" s="83" t="str">
        <f>IF(OR(ISBLANK(AF12),ISBLANK(AH12)),"N/A",IF(ABS(AH12-AF12)&gt;25,"&gt; 25%","ok"))</f>
        <v>N/A</v>
      </c>
      <c r="CE12" s="83"/>
      <c r="CF12" s="83" t="str">
        <f>IF(OR(ISBLANK(AH12),ISBLANK(AJ12)),"N/A",IF(ABS(AJ12-AH12)&gt;25,"&gt; 25%","ok"))</f>
        <v>N/A</v>
      </c>
      <c r="CG12" s="83"/>
      <c r="CH12" s="83" t="str">
        <f>IF(OR(ISBLANK(AJ12),ISBLANK(AL12)),"N/A",IF(ABS(AL12-AJ12)&gt;25,"&gt; 25%","ok"))</f>
        <v>N/A</v>
      </c>
      <c r="CI12" s="83"/>
      <c r="CJ12" s="83" t="str">
        <f>IF(OR(ISBLANK(AL12),ISBLANK(AN12)),"N/A",IF(ABS(AN12-AL12)&gt;25,"&gt; 25%","ok"))</f>
        <v>N/A</v>
      </c>
      <c r="CK12" s="83"/>
      <c r="CL12" s="83" t="str">
        <f>IF(OR(ISBLANK(AN12),ISBLANK(AP12)),"N/A",IF(ABS(AP12-AN12)&gt;25,"&gt; 25%","ok"))</f>
        <v>N/A</v>
      </c>
      <c r="CM12" s="83"/>
      <c r="CN12" s="83" t="str">
        <f>IF(OR(ISBLANK(AP12),ISBLANK(AR12)),"N/A",IF(ABS(AR12-AP12)&gt;25,"&gt; 25%","ok"))</f>
        <v>N/A</v>
      </c>
      <c r="CO12" s="83"/>
      <c r="CP12" s="83" t="str">
        <f>IF(OR(ISBLANK(AR12),ISBLANK(AT12)),"N/A",IF(ABS(AT12-AR12)&gt;25,"&gt; 25%","ok"))</f>
        <v>N/A</v>
      </c>
      <c r="CQ12" s="83"/>
      <c r="CR12" s="83" t="str">
        <f>IF(OR(ISBLANK(AT12),ISBLANK(AV12)),"N/A",IF(ABS(AV12-AT12)&gt;25,"&gt; 25%","ok"))</f>
        <v>N/A</v>
      </c>
    </row>
    <row r="13" spans="3:40" ht="5.25" customHeight="1">
      <c r="C13" s="517"/>
      <c r="D13" s="217"/>
      <c r="E13" s="304"/>
      <c r="F13" s="217"/>
      <c r="G13" s="217"/>
      <c r="H13" s="217"/>
      <c r="I13" s="216"/>
      <c r="J13" s="299"/>
      <c r="K13" s="216"/>
      <c r="L13" s="299"/>
      <c r="M13" s="216"/>
      <c r="N13" s="299"/>
      <c r="O13" s="216"/>
      <c r="P13" s="299"/>
      <c r="Q13" s="216"/>
      <c r="R13" s="299"/>
      <c r="S13" s="216"/>
      <c r="T13" s="299"/>
      <c r="U13" s="216"/>
      <c r="V13" s="299"/>
      <c r="W13" s="216"/>
      <c r="X13" s="217"/>
      <c r="Y13" s="216"/>
      <c r="Z13" s="217"/>
      <c r="AA13" s="216"/>
      <c r="AB13" s="217"/>
      <c r="AC13" s="216"/>
      <c r="AD13" s="217"/>
      <c r="AE13" s="216"/>
      <c r="AF13" s="217"/>
      <c r="AG13" s="216"/>
      <c r="AH13" s="217"/>
      <c r="AI13" s="216"/>
      <c r="AJ13" s="299"/>
      <c r="AK13" s="216"/>
      <c r="AL13" s="217"/>
      <c r="AM13" s="216"/>
      <c r="AN13" s="217"/>
    </row>
    <row r="14" spans="3:51" ht="12.75">
      <c r="C14" s="366" t="s">
        <v>351</v>
      </c>
      <c r="D14" s="280"/>
      <c r="E14" s="475"/>
      <c r="F14" s="366"/>
      <c r="G14" s="366"/>
      <c r="AY14" s="376" t="s">
        <v>52</v>
      </c>
    </row>
    <row r="15" spans="1:110" ht="25.5" customHeight="1">
      <c r="A15" s="290"/>
      <c r="B15" s="290"/>
      <c r="C15" s="288" t="s">
        <v>167</v>
      </c>
      <c r="D15" s="740" t="s">
        <v>168</v>
      </c>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c r="AN15" s="740"/>
      <c r="AO15" s="740"/>
      <c r="AP15" s="740"/>
      <c r="AQ15" s="740"/>
      <c r="AR15" s="740"/>
      <c r="AS15" s="740"/>
      <c r="AT15" s="740"/>
      <c r="AU15" s="740"/>
      <c r="AV15" s="740"/>
      <c r="AW15" s="740"/>
      <c r="AX15" s="740"/>
      <c r="AY15" s="243" t="s">
        <v>347</v>
      </c>
      <c r="AZ15" s="243" t="s">
        <v>349</v>
      </c>
      <c r="BA15" s="243" t="s">
        <v>352</v>
      </c>
      <c r="BB15" s="656">
        <v>1990</v>
      </c>
      <c r="BC15" s="657"/>
      <c r="BD15" s="656">
        <v>1995</v>
      </c>
      <c r="BE15" s="657"/>
      <c r="BF15" s="656">
        <v>1996</v>
      </c>
      <c r="BG15" s="657"/>
      <c r="BH15" s="656">
        <v>1997</v>
      </c>
      <c r="BI15" s="657"/>
      <c r="BJ15" s="656">
        <v>1998</v>
      </c>
      <c r="BK15" s="657"/>
      <c r="BL15" s="656">
        <v>1999</v>
      </c>
      <c r="BM15" s="657"/>
      <c r="BN15" s="656">
        <v>2000</v>
      </c>
      <c r="BO15" s="657"/>
      <c r="BP15" s="656">
        <v>2001</v>
      </c>
      <c r="BQ15" s="657"/>
      <c r="BR15" s="656">
        <v>2002</v>
      </c>
      <c r="BS15" s="657"/>
      <c r="BT15" s="656">
        <v>2003</v>
      </c>
      <c r="BU15" s="657"/>
      <c r="BV15" s="656">
        <v>2004</v>
      </c>
      <c r="BW15" s="657"/>
      <c r="BX15" s="656">
        <v>2005</v>
      </c>
      <c r="BY15" s="657"/>
      <c r="BZ15" s="656">
        <v>2006</v>
      </c>
      <c r="CA15" s="657"/>
      <c r="CB15" s="656">
        <v>2007</v>
      </c>
      <c r="CC15" s="657"/>
      <c r="CD15" s="656">
        <v>2008</v>
      </c>
      <c r="CE15" s="657"/>
      <c r="CF15" s="656">
        <v>2009</v>
      </c>
      <c r="CG15" s="657"/>
      <c r="CH15" s="656">
        <v>2010</v>
      </c>
      <c r="CI15" s="657"/>
      <c r="CJ15" s="656">
        <v>2011</v>
      </c>
      <c r="CK15" s="658"/>
      <c r="CL15" s="656">
        <v>2012</v>
      </c>
      <c r="CM15" s="657"/>
      <c r="CN15" s="656">
        <v>2013</v>
      </c>
      <c r="CO15" s="657"/>
      <c r="CP15" s="656">
        <v>2014</v>
      </c>
      <c r="CQ15" s="658"/>
      <c r="CR15" s="656">
        <v>2015</v>
      </c>
      <c r="CS15" s="295"/>
      <c r="CT15" s="295"/>
      <c r="CU15" s="295"/>
      <c r="CV15" s="295"/>
      <c r="CW15" s="295"/>
      <c r="CX15" s="295"/>
      <c r="CY15" s="295"/>
      <c r="CZ15" s="295"/>
      <c r="DA15" s="295"/>
      <c r="DB15" s="295"/>
      <c r="DC15" s="295"/>
      <c r="DD15" s="295"/>
      <c r="DE15" s="295"/>
      <c r="DF15" s="295"/>
    </row>
    <row r="16" spans="1:110" ht="25.5" customHeight="1">
      <c r="A16" s="290"/>
      <c r="B16" s="290"/>
      <c r="C16" s="288" t="s">
        <v>167</v>
      </c>
      <c r="D16" s="744" t="s">
        <v>129</v>
      </c>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44"/>
      <c r="AL16" s="744"/>
      <c r="AM16" s="744"/>
      <c r="AN16" s="744"/>
      <c r="AO16" s="744"/>
      <c r="AP16" s="744"/>
      <c r="AQ16" s="744"/>
      <c r="AR16" s="744"/>
      <c r="AS16" s="744"/>
      <c r="AT16" s="744"/>
      <c r="AU16" s="744"/>
      <c r="AV16" s="744"/>
      <c r="AW16" s="744"/>
      <c r="AX16" s="744"/>
      <c r="AY16" s="408">
        <v>1</v>
      </c>
      <c r="AZ16" s="563" t="s">
        <v>10</v>
      </c>
      <c r="BA16" s="101" t="s">
        <v>321</v>
      </c>
      <c r="BB16" s="101">
        <f>F8</f>
        <v>0</v>
      </c>
      <c r="BC16" s="101"/>
      <c r="BD16" s="101">
        <f>H8</f>
        <v>0</v>
      </c>
      <c r="BE16" s="101"/>
      <c r="BF16" s="101">
        <f>J8</f>
        <v>0</v>
      </c>
      <c r="BG16" s="101"/>
      <c r="BH16" s="101">
        <f>L8</f>
        <v>0</v>
      </c>
      <c r="BI16" s="101"/>
      <c r="BJ16" s="101">
        <f>N8</f>
        <v>0</v>
      </c>
      <c r="BK16" s="101"/>
      <c r="BL16" s="101">
        <f>P8</f>
        <v>0</v>
      </c>
      <c r="BM16" s="101"/>
      <c r="BN16" s="101">
        <f>R8</f>
        <v>0</v>
      </c>
      <c r="BO16" s="101"/>
      <c r="BP16" s="101">
        <f>T8</f>
        <v>0</v>
      </c>
      <c r="BQ16" s="101"/>
      <c r="BR16" s="101">
        <f>V8</f>
        <v>0</v>
      </c>
      <c r="BS16" s="101"/>
      <c r="BT16" s="101">
        <f>X8</f>
        <v>0</v>
      </c>
      <c r="BU16" s="101"/>
      <c r="BV16" s="101">
        <f>Z8</f>
        <v>0</v>
      </c>
      <c r="BW16" s="101"/>
      <c r="BX16" s="101">
        <f>AB8</f>
        <v>0</v>
      </c>
      <c r="BY16" s="101"/>
      <c r="BZ16" s="101">
        <f>AD8</f>
        <v>0</v>
      </c>
      <c r="CA16" s="101"/>
      <c r="CB16" s="101">
        <f>AF8</f>
        <v>0</v>
      </c>
      <c r="CC16" s="101"/>
      <c r="CD16" s="101">
        <f>AH8</f>
        <v>0</v>
      </c>
      <c r="CE16" s="101"/>
      <c r="CF16" s="101">
        <f>AJ8</f>
        <v>0</v>
      </c>
      <c r="CG16" s="101"/>
      <c r="CH16" s="101">
        <f>AL8</f>
        <v>0</v>
      </c>
      <c r="CI16" s="101"/>
      <c r="CJ16" s="101">
        <f>AN8</f>
        <v>0</v>
      </c>
      <c r="CK16" s="101"/>
      <c r="CL16" s="101">
        <f>AP8</f>
        <v>0</v>
      </c>
      <c r="CM16" s="646"/>
      <c r="CN16" s="101">
        <f>AR8</f>
        <v>0</v>
      </c>
      <c r="CO16" s="101"/>
      <c r="CP16" s="101">
        <f>AT8</f>
        <v>0</v>
      </c>
      <c r="CQ16" s="101"/>
      <c r="CR16" s="101">
        <f>AV8</f>
        <v>0</v>
      </c>
      <c r="CS16" s="295"/>
      <c r="CT16" s="295"/>
      <c r="CU16" s="295"/>
      <c r="CV16" s="295"/>
      <c r="CW16" s="295"/>
      <c r="CX16" s="295"/>
      <c r="CY16" s="295"/>
      <c r="CZ16" s="295"/>
      <c r="DA16" s="295"/>
      <c r="DB16" s="295"/>
      <c r="DC16" s="295"/>
      <c r="DD16" s="295"/>
      <c r="DE16" s="295"/>
      <c r="DF16" s="295"/>
    </row>
    <row r="17" spans="1:110" ht="18" customHeight="1">
      <c r="A17" s="290"/>
      <c r="B17" s="290"/>
      <c r="C17" s="288" t="s">
        <v>167</v>
      </c>
      <c r="D17" s="765" t="s">
        <v>596</v>
      </c>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388">
        <v>2</v>
      </c>
      <c r="AZ17" s="565" t="s">
        <v>11</v>
      </c>
      <c r="BA17" s="101" t="s">
        <v>321</v>
      </c>
      <c r="BB17" s="101">
        <f>F9</f>
        <v>0</v>
      </c>
      <c r="BC17" s="101"/>
      <c r="BD17" s="101">
        <f>H9</f>
        <v>0</v>
      </c>
      <c r="BE17" s="101"/>
      <c r="BF17" s="101">
        <f>J9</f>
        <v>0</v>
      </c>
      <c r="BG17" s="101"/>
      <c r="BH17" s="101">
        <f>L9</f>
        <v>0</v>
      </c>
      <c r="BI17" s="101"/>
      <c r="BJ17" s="101">
        <f>N9</f>
        <v>0</v>
      </c>
      <c r="BK17" s="101"/>
      <c r="BL17" s="101">
        <f>P9</f>
        <v>0</v>
      </c>
      <c r="BM17" s="101"/>
      <c r="BN17" s="101">
        <f>R9</f>
        <v>0</v>
      </c>
      <c r="BO17" s="101"/>
      <c r="BP17" s="101">
        <f>T9</f>
        <v>0</v>
      </c>
      <c r="BQ17" s="101"/>
      <c r="BR17" s="101">
        <f>V9</f>
        <v>0</v>
      </c>
      <c r="BS17" s="101"/>
      <c r="BT17" s="101">
        <f>X9</f>
        <v>0</v>
      </c>
      <c r="BU17" s="101"/>
      <c r="BV17" s="101">
        <f>Z9</f>
        <v>0</v>
      </c>
      <c r="BW17" s="101"/>
      <c r="BX17" s="101">
        <f>AB9</f>
        <v>0</v>
      </c>
      <c r="BY17" s="101"/>
      <c r="BZ17" s="101">
        <f>AD9</f>
        <v>0</v>
      </c>
      <c r="CA17" s="101"/>
      <c r="CB17" s="101">
        <f>AF9</f>
        <v>0</v>
      </c>
      <c r="CC17" s="101"/>
      <c r="CD17" s="101">
        <f>AH9</f>
        <v>0</v>
      </c>
      <c r="CE17" s="101"/>
      <c r="CF17" s="101">
        <f>AJ9</f>
        <v>0</v>
      </c>
      <c r="CG17" s="101"/>
      <c r="CH17" s="101">
        <f>AL9</f>
        <v>0</v>
      </c>
      <c r="CI17" s="101"/>
      <c r="CJ17" s="101">
        <f>AN9</f>
        <v>0</v>
      </c>
      <c r="CK17" s="101"/>
      <c r="CL17" s="101">
        <f>AP9</f>
        <v>0</v>
      </c>
      <c r="CM17" s="646"/>
      <c r="CN17" s="101">
        <f>AR9</f>
        <v>0</v>
      </c>
      <c r="CO17" s="101"/>
      <c r="CP17" s="101">
        <f>AT9</f>
        <v>0</v>
      </c>
      <c r="CQ17" s="101"/>
      <c r="CR17" s="101">
        <f>AV9</f>
        <v>0</v>
      </c>
      <c r="CS17" s="295"/>
      <c r="CT17" s="295"/>
      <c r="CU17" s="295"/>
      <c r="CV17" s="295"/>
      <c r="CW17" s="295"/>
      <c r="CX17" s="295"/>
      <c r="CY17" s="295"/>
      <c r="CZ17" s="295"/>
      <c r="DA17" s="295"/>
      <c r="DB17" s="295"/>
      <c r="DC17" s="295"/>
      <c r="DD17" s="295"/>
      <c r="DE17" s="295"/>
      <c r="DF17" s="295"/>
    </row>
    <row r="18" spans="1:96" s="211" customFormat="1" ht="16.5" customHeight="1">
      <c r="A18" s="189"/>
      <c r="B18" s="190"/>
      <c r="C18" s="41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297" t="s">
        <v>203</v>
      </c>
      <c r="AZ18" s="294" t="s">
        <v>56</v>
      </c>
      <c r="BA18" s="101"/>
      <c r="BB18" s="101" t="str">
        <f>IF(OR(ISBLANK(F8),ISBLANK(F9)),"N/A",IF(BB16&gt;=BB17,"ok","&lt;&gt;"))</f>
        <v>N/A</v>
      </c>
      <c r="BC18" s="101"/>
      <c r="BD18" s="101" t="str">
        <f>IF(OR(ISBLANK(H8),ISBLANK(H9)),"N/A",IF(BD16&gt;=BD17,"ok","&lt;&gt;"))</f>
        <v>N/A</v>
      </c>
      <c r="BE18" s="101"/>
      <c r="BF18" s="101" t="str">
        <f>IF(OR(ISBLANK(J8),ISBLANK(J9)),"N/A",IF(BF16&gt;=BF17,"ok","&lt;&gt;"))</f>
        <v>N/A</v>
      </c>
      <c r="BG18" s="101"/>
      <c r="BH18" s="101" t="str">
        <f>IF(OR(ISBLANK(L8),ISBLANK(L9)),"N/A",IF(BH16&gt;=BH17,"ok","&lt;&gt;"))</f>
        <v>N/A</v>
      </c>
      <c r="BI18" s="101"/>
      <c r="BJ18" s="101" t="str">
        <f>IF(OR(ISBLANK(N8),ISBLANK(N9)),"N/A",IF(BJ16&gt;=BJ17,"ok","&lt;&gt;"))</f>
        <v>N/A</v>
      </c>
      <c r="BK18" s="101"/>
      <c r="BL18" s="101" t="str">
        <f>IF(OR(ISBLANK(P8),ISBLANK(P9)),"N/A",IF(BL16&gt;=BL17,"ok","&lt;&gt;"))</f>
        <v>N/A</v>
      </c>
      <c r="BM18" s="101"/>
      <c r="BN18" s="101" t="str">
        <f>IF(OR(ISBLANK(R8),ISBLANK(R9)),"N/A",IF(BN16&gt;=BN17,"ok","&lt;&gt;"))</f>
        <v>N/A</v>
      </c>
      <c r="BO18" s="101"/>
      <c r="BP18" s="101" t="str">
        <f>IF(OR(ISBLANK(T8),ISBLANK(T9)),"N/A",IF(BP16&gt;=BP17,"ok","&lt;&gt;"))</f>
        <v>N/A</v>
      </c>
      <c r="BQ18" s="101"/>
      <c r="BR18" s="101" t="str">
        <f>IF(OR(ISBLANK(V8),ISBLANK(V9)),"N/A",IF(BR16&gt;=BR17,"ok","&lt;&gt;"))</f>
        <v>N/A</v>
      </c>
      <c r="BS18" s="101"/>
      <c r="BT18" s="101" t="str">
        <f>IF(OR(ISBLANK(X8),ISBLANK(X9)),"N/A",IF(BT16&gt;=BT17,"ok","&lt;&gt;"))</f>
        <v>N/A</v>
      </c>
      <c r="BU18" s="101"/>
      <c r="BV18" s="101" t="str">
        <f>IF(OR(ISBLANK(Z8),ISBLANK(Z9)),"N/A",IF(BV16&gt;=BV17,"ok","&lt;&gt;"))</f>
        <v>N/A</v>
      </c>
      <c r="BW18" s="101"/>
      <c r="BX18" s="101" t="str">
        <f>IF(OR(ISBLANK(AB8),ISBLANK(AB9)),"N/A",IF(BX16&gt;=BX17,"ok","&lt;&gt;"))</f>
        <v>N/A</v>
      </c>
      <c r="BY18" s="101"/>
      <c r="BZ18" s="101" t="str">
        <f>IF(OR(ISBLANK(AD8),ISBLANK(AD9)),"N/A",IF(BZ16&gt;=BZ17,"ok","&lt;&gt;"))</f>
        <v>N/A</v>
      </c>
      <c r="CA18" s="101"/>
      <c r="CB18" s="101" t="str">
        <f>IF(OR(ISBLANK(AF8),ISBLANK(AF9)),"N/A",IF(CB16&gt;=CB17,"ok","&lt;&gt;"))</f>
        <v>N/A</v>
      </c>
      <c r="CC18" s="101"/>
      <c r="CD18" s="101" t="str">
        <f>IF(OR(ISBLANK(AH8),ISBLANK(AH9)),"N/A",IF(CD16&gt;=CD17,"ok","&lt;&gt;"))</f>
        <v>N/A</v>
      </c>
      <c r="CE18" s="101"/>
      <c r="CF18" s="101" t="str">
        <f>IF(OR(ISBLANK(AJ8),ISBLANK(AJ9)),"N/A",IF(CF16&gt;=CF17,"ok","&lt;&gt;"))</f>
        <v>N/A</v>
      </c>
      <c r="CG18" s="101"/>
      <c r="CH18" s="101" t="str">
        <f>IF(OR(ISBLANK(AL8),ISBLANK(AL9)),"N/A",IF(CH16&gt;=CH17,"ok","&lt;&gt;"))</f>
        <v>N/A</v>
      </c>
      <c r="CI18" s="101"/>
      <c r="CJ18" s="101" t="str">
        <f>IF(OR(ISBLANK(AN8),ISBLANK(AN9)),"N/A",IF(CJ16&gt;=CJ17,"ok","&lt;&gt;"))</f>
        <v>N/A</v>
      </c>
      <c r="CK18" s="101"/>
      <c r="CL18" s="101" t="str">
        <f>IF(OR(ISBLANK(AP8),ISBLANK(AP9)),"N/A",IF(CL16&gt;=CL17,"ok","&lt;&gt;"))</f>
        <v>N/A</v>
      </c>
      <c r="CM18" s="646"/>
      <c r="CN18" s="101" t="str">
        <f>IF(OR(ISBLANK(AR8),ISBLANK(AR9)),"N/A",IF(CN16&gt;=CN17,"ok","&lt;&gt;"))</f>
        <v>N/A</v>
      </c>
      <c r="CO18" s="101"/>
      <c r="CP18" s="101" t="str">
        <f>IF(OR(ISBLANK(AT8),ISBLANK(AT9)),"N/A",IF(CP16&gt;=CP17,"ok","&lt;&gt;"))</f>
        <v>N/A</v>
      </c>
      <c r="CQ18" s="101"/>
      <c r="CR18" s="101" t="str">
        <f>IF(OR(ISBLANK(AV8),ISBLANK(AV9)),"N/A",IF(CR16&gt;=CR17,"ok","&lt;&gt;"))</f>
        <v>N/A</v>
      </c>
    </row>
    <row r="19" spans="1:96" s="445" customFormat="1" ht="20.25">
      <c r="A19" s="444"/>
      <c r="B19" s="431">
        <v>1</v>
      </c>
      <c r="C19" s="313" t="s">
        <v>359</v>
      </c>
      <c r="D19" s="411"/>
      <c r="E19" s="313"/>
      <c r="F19" s="222"/>
      <c r="G19" s="222"/>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2"/>
      <c r="AH19" s="316"/>
      <c r="AI19" s="317"/>
      <c r="AJ19" s="318"/>
      <c r="AK19" s="317"/>
      <c r="AL19" s="316"/>
      <c r="AM19" s="317"/>
      <c r="AN19" s="316"/>
      <c r="AO19" s="317"/>
      <c r="AP19" s="317"/>
      <c r="AQ19" s="317"/>
      <c r="AR19" s="317"/>
      <c r="AS19" s="317"/>
      <c r="AT19" s="368"/>
      <c r="AU19" s="367"/>
      <c r="AV19" s="368"/>
      <c r="AW19" s="367"/>
      <c r="AX19" s="451"/>
      <c r="AY19" s="101">
        <v>3</v>
      </c>
      <c r="AZ19" s="567" t="s">
        <v>574</v>
      </c>
      <c r="BA19" s="101" t="s">
        <v>321</v>
      </c>
      <c r="BB19" s="101">
        <f>F10</f>
        <v>0</v>
      </c>
      <c r="BC19" s="101"/>
      <c r="BD19" s="101">
        <f>H10</f>
        <v>0</v>
      </c>
      <c r="BE19" s="101"/>
      <c r="BF19" s="101">
        <f>J10</f>
        <v>0</v>
      </c>
      <c r="BG19" s="101"/>
      <c r="BH19" s="101">
        <f>L10</f>
        <v>0</v>
      </c>
      <c r="BI19" s="101"/>
      <c r="BJ19" s="101">
        <f>N10</f>
        <v>0</v>
      </c>
      <c r="BK19" s="101"/>
      <c r="BL19" s="101">
        <f>P10</f>
        <v>0</v>
      </c>
      <c r="BM19" s="101"/>
      <c r="BN19" s="101">
        <f>R10</f>
        <v>0</v>
      </c>
      <c r="BO19" s="101"/>
      <c r="BP19" s="101">
        <f>T10</f>
        <v>0</v>
      </c>
      <c r="BQ19" s="101"/>
      <c r="BR19" s="101">
        <f>V10</f>
        <v>0</v>
      </c>
      <c r="BS19" s="101"/>
      <c r="BT19" s="101">
        <f>X10</f>
        <v>0</v>
      </c>
      <c r="BU19" s="101"/>
      <c r="BV19" s="101">
        <f>Z10</f>
        <v>0</v>
      </c>
      <c r="BW19" s="101"/>
      <c r="BX19" s="101">
        <f>AB10</f>
        <v>0</v>
      </c>
      <c r="BY19" s="101"/>
      <c r="BZ19" s="101">
        <f>AD10</f>
        <v>0</v>
      </c>
      <c r="CA19" s="101"/>
      <c r="CB19" s="101">
        <f>AF10</f>
        <v>0</v>
      </c>
      <c r="CC19" s="101"/>
      <c r="CD19" s="101">
        <f>AH10</f>
        <v>0</v>
      </c>
      <c r="CE19" s="101"/>
      <c r="CF19" s="101">
        <f>AJ10</f>
        <v>0</v>
      </c>
      <c r="CG19" s="101"/>
      <c r="CH19" s="101">
        <f>AL10</f>
        <v>0</v>
      </c>
      <c r="CI19" s="101"/>
      <c r="CJ19" s="101">
        <f>AN10</f>
        <v>0</v>
      </c>
      <c r="CK19" s="101"/>
      <c r="CL19" s="101">
        <f>AP10</f>
        <v>0</v>
      </c>
      <c r="CM19" s="646"/>
      <c r="CN19" s="101">
        <f>AR10</f>
        <v>0</v>
      </c>
      <c r="CO19" s="101"/>
      <c r="CP19" s="101">
        <f>AT10</f>
        <v>0</v>
      </c>
      <c r="CQ19" s="101"/>
      <c r="CR19" s="101">
        <f>AV10</f>
        <v>0</v>
      </c>
    </row>
    <row r="20" spans="3:96" ht="2.25" customHeight="1">
      <c r="C20" s="413"/>
      <c r="D20" s="413"/>
      <c r="E20" s="414"/>
      <c r="F20" s="354"/>
      <c r="G20" s="354"/>
      <c r="H20" s="350"/>
      <c r="I20" s="351"/>
      <c r="J20" s="352"/>
      <c r="K20" s="351"/>
      <c r="L20" s="352"/>
      <c r="M20" s="351"/>
      <c r="N20" s="352"/>
      <c r="O20" s="351"/>
      <c r="P20" s="352"/>
      <c r="Q20" s="351"/>
      <c r="R20" s="352"/>
      <c r="S20" s="351"/>
      <c r="T20" s="352"/>
      <c r="U20" s="351"/>
      <c r="V20" s="352"/>
      <c r="W20" s="351"/>
      <c r="X20" s="350"/>
      <c r="Y20" s="351"/>
      <c r="Z20" s="350"/>
      <c r="AA20" s="351"/>
      <c r="AB20" s="350"/>
      <c r="AC20" s="351"/>
      <c r="AD20" s="350"/>
      <c r="AE20" s="351"/>
      <c r="AF20" s="350"/>
      <c r="AG20" s="415"/>
      <c r="AH20" s="350"/>
      <c r="AI20" s="351"/>
      <c r="AJ20" s="352"/>
      <c r="AK20" s="351"/>
      <c r="AL20" s="350"/>
      <c r="AM20" s="353"/>
      <c r="AN20" s="348"/>
      <c r="AO20" s="353"/>
      <c r="AP20" s="353"/>
      <c r="AQ20" s="353"/>
      <c r="AR20" s="353"/>
      <c r="AS20" s="353"/>
      <c r="AY20" s="388"/>
      <c r="AZ20" s="568"/>
      <c r="BA20" s="101"/>
      <c r="BB20" s="101"/>
      <c r="BC20" s="646"/>
      <c r="BD20" s="82"/>
      <c r="BE20" s="646"/>
      <c r="BF20" s="82"/>
      <c r="BG20" s="646"/>
      <c r="BH20" s="82"/>
      <c r="BI20" s="646"/>
      <c r="BJ20" s="82"/>
      <c r="BK20" s="646"/>
      <c r="BL20" s="82"/>
      <c r="BM20" s="646"/>
      <c r="BN20" s="82"/>
      <c r="BO20" s="646"/>
      <c r="BP20" s="82"/>
      <c r="BQ20" s="646"/>
      <c r="BR20" s="101"/>
      <c r="BS20" s="646"/>
      <c r="BT20" s="101"/>
      <c r="BU20" s="646"/>
      <c r="BV20" s="101"/>
      <c r="BW20" s="646"/>
      <c r="BX20" s="101"/>
      <c r="BY20" s="646"/>
      <c r="BZ20" s="101"/>
      <c r="CA20" s="646"/>
      <c r="CB20" s="101"/>
      <c r="CC20" s="646"/>
      <c r="CD20" s="82"/>
      <c r="CE20" s="646"/>
      <c r="CF20" s="101"/>
      <c r="CG20" s="646"/>
      <c r="CH20" s="101"/>
      <c r="CI20" s="646"/>
      <c r="CJ20" s="101"/>
      <c r="CK20" s="646"/>
      <c r="CL20" s="101"/>
      <c r="CM20" s="646"/>
      <c r="CN20" s="101"/>
      <c r="CO20" s="646"/>
      <c r="CP20" s="101"/>
      <c r="CQ20" s="646"/>
      <c r="CR20" s="101"/>
    </row>
    <row r="21" spans="3:96" ht="18" customHeight="1">
      <c r="C21" s="324" t="s">
        <v>354</v>
      </c>
      <c r="D21" s="494" t="s">
        <v>357</v>
      </c>
      <c r="E21" s="416"/>
      <c r="F21" s="417"/>
      <c r="G21" s="417"/>
      <c r="H21" s="418"/>
      <c r="I21" s="419"/>
      <c r="J21" s="420"/>
      <c r="K21" s="419"/>
      <c r="L21" s="420"/>
      <c r="M21" s="419"/>
      <c r="N21" s="420"/>
      <c r="O21" s="419"/>
      <c r="P21" s="420"/>
      <c r="Q21" s="419"/>
      <c r="R21" s="420"/>
      <c r="S21" s="419"/>
      <c r="T21" s="420"/>
      <c r="U21" s="419"/>
      <c r="V21" s="420"/>
      <c r="W21" s="419"/>
      <c r="X21" s="418"/>
      <c r="Y21" s="419"/>
      <c r="Z21" s="418"/>
      <c r="AA21" s="419"/>
      <c r="AB21" s="418"/>
      <c r="AC21" s="419"/>
      <c r="AD21" s="418"/>
      <c r="AE21" s="419"/>
      <c r="AF21" s="418"/>
      <c r="AG21" s="421"/>
      <c r="AH21" s="418"/>
      <c r="AI21" s="419"/>
      <c r="AJ21" s="420"/>
      <c r="AK21" s="419"/>
      <c r="AL21" s="418"/>
      <c r="AM21" s="419"/>
      <c r="AN21" s="418"/>
      <c r="AO21" s="419"/>
      <c r="AP21" s="419"/>
      <c r="AQ21" s="419"/>
      <c r="AR21" s="419"/>
      <c r="AS21" s="419"/>
      <c r="AT21" s="418"/>
      <c r="AU21" s="419"/>
      <c r="AV21" s="418"/>
      <c r="AW21" s="419"/>
      <c r="AX21" s="495"/>
      <c r="AY21" s="297" t="s">
        <v>203</v>
      </c>
      <c r="AZ21" s="294" t="s">
        <v>55</v>
      </c>
      <c r="BA21" s="101"/>
      <c r="BB21" s="101" t="str">
        <f>IF(OR(ISBLANK(F10),ISBLANK(F9)),"N/A",IF(BB17&gt;=BB19,"ok","&lt;&gt;"))</f>
        <v>N/A</v>
      </c>
      <c r="BC21" s="101"/>
      <c r="BD21" s="101" t="str">
        <f>IF(OR(ISBLANK(H10),ISBLANK(H9)),"N/A",IF(BD17&gt;=BD19,"ok","&lt;&gt;"))</f>
        <v>N/A</v>
      </c>
      <c r="BE21" s="101"/>
      <c r="BF21" s="101" t="str">
        <f>IF(OR(ISBLANK(J10),ISBLANK(J9)),"N/A",IF(BF17&gt;=BF19,"ok","&lt;&gt;"))</f>
        <v>N/A</v>
      </c>
      <c r="BG21" s="101"/>
      <c r="BH21" s="101" t="str">
        <f>IF(OR(ISBLANK(L10),ISBLANK(L9)),"N/A",IF(BH17&gt;=BH19,"ok","&lt;&gt;"))</f>
        <v>N/A</v>
      </c>
      <c r="BI21" s="101"/>
      <c r="BJ21" s="101" t="str">
        <f>IF(OR(ISBLANK(N10),ISBLANK(N9)),"N/A",IF(BJ17&gt;=BJ19,"ok","&lt;&gt;"))</f>
        <v>N/A</v>
      </c>
      <c r="BK21" s="101"/>
      <c r="BL21" s="101" t="str">
        <f>IF(OR(ISBLANK(P10),ISBLANK(P9)),"N/A",IF(BL17&gt;=BL19,"ok","&lt;&gt;"))</f>
        <v>N/A</v>
      </c>
      <c r="BM21" s="101"/>
      <c r="BN21" s="101" t="str">
        <f>IF(OR(ISBLANK(R10),ISBLANK(R9)),"N/A",IF(BN17&gt;=BN19,"ok","&lt;&gt;"))</f>
        <v>N/A</v>
      </c>
      <c r="BO21" s="101"/>
      <c r="BP21" s="101" t="str">
        <f>IF(OR(ISBLANK(T10),ISBLANK(T9)),"N/A",IF(BP17&gt;=BP19,"ok","&lt;&gt;"))</f>
        <v>N/A</v>
      </c>
      <c r="BQ21" s="101"/>
      <c r="BR21" s="101" t="str">
        <f>IF(OR(ISBLANK(V10),ISBLANK(V9)),"N/A",IF(BR17&gt;=BR19,"ok","&lt;&gt;"))</f>
        <v>N/A</v>
      </c>
      <c r="BS21" s="101"/>
      <c r="BT21" s="101" t="str">
        <f>IF(OR(ISBLANK(X10),ISBLANK(X9)),"N/A",IF(BT17&gt;=BT19,"ok","&lt;&gt;"))</f>
        <v>N/A</v>
      </c>
      <c r="BU21" s="101"/>
      <c r="BV21" s="101" t="str">
        <f>IF(OR(ISBLANK(Z10),ISBLANK(Z9)),"N/A",IF(BV17&gt;=BV19,"ok","&lt;&gt;"))</f>
        <v>N/A</v>
      </c>
      <c r="BW21" s="101"/>
      <c r="BX21" s="101" t="str">
        <f>IF(OR(ISBLANK(AB10),ISBLANK(AB9)),"N/A",IF(BX17&gt;=BX19,"ok","&lt;&gt;"))</f>
        <v>N/A</v>
      </c>
      <c r="BY21" s="101"/>
      <c r="BZ21" s="101" t="str">
        <f>IF(OR(ISBLANK(AD10),ISBLANK(AD9)),"N/A",IF(BZ17&gt;=BZ19,"ok","&lt;&gt;"))</f>
        <v>N/A</v>
      </c>
      <c r="CA21" s="101"/>
      <c r="CB21" s="101" t="str">
        <f>IF(OR(ISBLANK(AF10),ISBLANK(AF9)),"N/A",IF(CB17&gt;=CB19,"ok","&lt;&gt;"))</f>
        <v>N/A</v>
      </c>
      <c r="CC21" s="101"/>
      <c r="CD21" s="101" t="str">
        <f>IF(OR(ISBLANK(AH10),ISBLANK(AH9)),"N/A",IF(CD17&gt;=CD19,"ok","&lt;&gt;"))</f>
        <v>N/A</v>
      </c>
      <c r="CE21" s="101"/>
      <c r="CF21" s="101" t="str">
        <f>IF(OR(ISBLANK(AJ10),ISBLANK(AJ9)),"N/A",IF(CF17&gt;=CF19,"ok","&lt;&gt;"))</f>
        <v>N/A</v>
      </c>
      <c r="CG21" s="101"/>
      <c r="CH21" s="101" t="str">
        <f>IF(OR(ISBLANK(AL10),ISBLANK(AL9)),"N/A",IF(CH17&gt;=CH19,"ok","&lt;&gt;"))</f>
        <v>N/A</v>
      </c>
      <c r="CI21" s="101"/>
      <c r="CJ21" s="101" t="str">
        <f>IF(OR(ISBLANK(AN10),ISBLANK(AN9)),"N/A",IF(CJ17&gt;=CJ19,"ok","&lt;&gt;"))</f>
        <v>N/A</v>
      </c>
      <c r="CK21" s="101"/>
      <c r="CL21" s="101" t="str">
        <f>IF(OR(ISBLANK(AP10),ISBLANK(AP9)),"N/A",IF(CL17&gt;=CL19,"ok","&lt;&gt;"))</f>
        <v>N/A</v>
      </c>
      <c r="CM21" s="646"/>
      <c r="CN21" s="101" t="str">
        <f>IF(OR(ISBLANK(AR10),ISBLANK(AR9)),"N/A",IF(CN17&gt;=CN19,"ok","&lt;&gt;"))</f>
        <v>N/A</v>
      </c>
      <c r="CO21" s="101"/>
      <c r="CP21" s="101" t="str">
        <f>IF(OR(ISBLANK(AT10),ISBLANK(AT9)),"N/A",IF(CP17&gt;=CP19,"ok","&lt;&gt;"))</f>
        <v>N/A</v>
      </c>
      <c r="CQ21" s="101"/>
      <c r="CR21" s="101" t="str">
        <f>IF(OR(ISBLANK(AV10),ISBLANK(AV9)),"N/A",IF(CR17&gt;=CR19,"ok","&lt;&gt;"))</f>
        <v>N/A</v>
      </c>
    </row>
    <row r="22" spans="3:96" ht="18" customHeight="1">
      <c r="C22" s="569"/>
      <c r="D22" s="741"/>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3"/>
      <c r="AY22" s="84">
        <v>5</v>
      </c>
      <c r="AZ22" s="258" t="s">
        <v>75</v>
      </c>
      <c r="BA22" s="84" t="s">
        <v>321</v>
      </c>
      <c r="BB22" s="101">
        <f>F12</f>
        <v>0</v>
      </c>
      <c r="BC22" s="101"/>
      <c r="BD22" s="101">
        <f>H12</f>
        <v>0</v>
      </c>
      <c r="BE22" s="101"/>
      <c r="BF22" s="101">
        <f>J12</f>
        <v>0</v>
      </c>
      <c r="BG22" s="101"/>
      <c r="BH22" s="101">
        <f>L12</f>
        <v>0</v>
      </c>
      <c r="BI22" s="101"/>
      <c r="BJ22" s="101">
        <f>N12</f>
        <v>0</v>
      </c>
      <c r="BK22" s="101"/>
      <c r="BL22" s="101">
        <f>P12</f>
        <v>0</v>
      </c>
      <c r="BM22" s="101"/>
      <c r="BN22" s="101">
        <f>R12</f>
        <v>0</v>
      </c>
      <c r="BO22" s="101"/>
      <c r="BP22" s="101">
        <f>T12</f>
        <v>0</v>
      </c>
      <c r="BQ22" s="101"/>
      <c r="BR22" s="101">
        <f>V12</f>
        <v>0</v>
      </c>
      <c r="BS22" s="101"/>
      <c r="BT22" s="101">
        <f>X12</f>
        <v>0</v>
      </c>
      <c r="BU22" s="101"/>
      <c r="BV22" s="101">
        <f>Z12</f>
        <v>0</v>
      </c>
      <c r="BW22" s="101"/>
      <c r="BX22" s="101">
        <f>AB12</f>
        <v>0</v>
      </c>
      <c r="BY22" s="101"/>
      <c r="BZ22" s="101">
        <f>AD12</f>
        <v>0</v>
      </c>
      <c r="CA22" s="101"/>
      <c r="CB22" s="101">
        <f>AF12</f>
        <v>0</v>
      </c>
      <c r="CC22" s="101"/>
      <c r="CD22" s="101">
        <f>AH12</f>
        <v>0</v>
      </c>
      <c r="CE22" s="101"/>
      <c r="CF22" s="101">
        <f>AJ12</f>
        <v>0</v>
      </c>
      <c r="CG22" s="101"/>
      <c r="CH22" s="101">
        <f>AL12</f>
        <v>0</v>
      </c>
      <c r="CI22" s="101"/>
      <c r="CJ22" s="101">
        <f>AN12</f>
        <v>0</v>
      </c>
      <c r="CK22" s="101"/>
      <c r="CL22" s="101">
        <f>AP12</f>
        <v>0</v>
      </c>
      <c r="CM22" s="646"/>
      <c r="CN22" s="101">
        <f>AR12</f>
        <v>0</v>
      </c>
      <c r="CO22" s="101"/>
      <c r="CP22" s="101">
        <f>AT12</f>
        <v>0</v>
      </c>
      <c r="CQ22" s="101"/>
      <c r="CR22" s="101">
        <f>AV12</f>
        <v>0</v>
      </c>
    </row>
    <row r="23" spans="3:96" ht="18" customHeight="1">
      <c r="C23" s="569"/>
      <c r="D23" s="759"/>
      <c r="E23" s="760"/>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760"/>
      <c r="AQ23" s="760"/>
      <c r="AR23" s="760"/>
      <c r="AS23" s="760"/>
      <c r="AT23" s="760"/>
      <c r="AU23" s="760"/>
      <c r="AV23" s="760"/>
      <c r="AW23" s="760"/>
      <c r="AX23" s="761"/>
      <c r="AY23" s="325" t="s">
        <v>203</v>
      </c>
      <c r="AZ23" s="326" t="s">
        <v>25</v>
      </c>
      <c r="BA23" s="99"/>
      <c r="BB23" s="99" t="str">
        <f>IF(OR(ISBLANK(F12),ISBLANK(F9),ISBLANK(F11)),"N/A",IF(BB22=100-F11-F9,"ok","&lt;&gt;"))</f>
        <v>N/A</v>
      </c>
      <c r="BC23" s="99"/>
      <c r="BD23" s="99" t="str">
        <f>IF(OR(ISBLANK(H12),ISBLANK(H9),ISBLANK(H11)),"N/A",IF(BD22=100-H11-H9,"ok","&lt;&gt;"))</f>
        <v>N/A</v>
      </c>
      <c r="BE23" s="99"/>
      <c r="BF23" s="99" t="str">
        <f>IF(OR(ISBLANK(J12),ISBLANK(J9),ISBLANK(J11)),"N/A",IF(BF22=100-J11-J9,"ok","&lt;&gt;"))</f>
        <v>N/A</v>
      </c>
      <c r="BG23" s="99"/>
      <c r="BH23" s="99" t="str">
        <f>IF(OR(ISBLANK(L12),ISBLANK(L9),ISBLANK(L11)),"N/A",IF(BH22=100-L11-L9,"ok","&lt;&gt;"))</f>
        <v>N/A</v>
      </c>
      <c r="BI23" s="99"/>
      <c r="BJ23" s="99" t="str">
        <f>IF(OR(ISBLANK(N12),ISBLANK(N9),ISBLANK(N11)),"N/A",IF(BJ22=100-N11-N9,"ok","&lt;&gt;"))</f>
        <v>N/A</v>
      </c>
      <c r="BK23" s="99"/>
      <c r="BL23" s="99" t="str">
        <f>IF(OR(ISBLANK(P12),ISBLANK(P9),ISBLANK(P11)),"N/A",IF(BL22=100-P11-P9,"ok","&lt;&gt;"))</f>
        <v>N/A</v>
      </c>
      <c r="BM23" s="99"/>
      <c r="BN23" s="99" t="str">
        <f>IF(OR(ISBLANK(R12),ISBLANK(R9),ISBLANK(R11)),"N/A",IF(BN22=100-R11-R9,"ok","&lt;&gt;"))</f>
        <v>N/A</v>
      </c>
      <c r="BO23" s="99"/>
      <c r="BP23" s="99" t="str">
        <f>IF(OR(ISBLANK(T12),ISBLANK(T9),ISBLANK(T11)),"N/A",IF(BP22=100-T11-T9,"ok","&lt;&gt;"))</f>
        <v>N/A</v>
      </c>
      <c r="BQ23" s="99"/>
      <c r="BR23" s="99" t="str">
        <f>IF(OR(ISBLANK(V12),ISBLANK(V9),ISBLANK(V11)),"N/A",IF(BR22=100-V11-V9,"ok","&lt;&gt;"))</f>
        <v>N/A</v>
      </c>
      <c r="BS23" s="99"/>
      <c r="BT23" s="99" t="str">
        <f>IF(OR(ISBLANK(X12),ISBLANK(X9),ISBLANK(X11)),"N/A",IF(BT22=100-X11-X9,"ok","&lt;&gt;"))</f>
        <v>N/A</v>
      </c>
      <c r="BU23" s="99"/>
      <c r="BV23" s="99" t="str">
        <f>IF(OR(ISBLANK(Z12),ISBLANK(Z9),ISBLANK(Z11)),"N/A",IF(BV22=100-Z11-Z9,"ok","&lt;&gt;"))</f>
        <v>N/A</v>
      </c>
      <c r="BW23" s="99"/>
      <c r="BX23" s="99" t="str">
        <f>IF(OR(ISBLANK(AB12),ISBLANK(AB9),ISBLANK(AB11)),"N/A",IF(BX22=100-AB11-AB9,"ok","&lt;&gt;"))</f>
        <v>N/A</v>
      </c>
      <c r="BY23" s="99"/>
      <c r="BZ23" s="99" t="str">
        <f>IF(OR(ISBLANK(AD12),ISBLANK(AD9),ISBLANK(AD11)),"N/A",IF(BZ22=100-AD11-AD9,"ok","&lt;&gt;"))</f>
        <v>N/A</v>
      </c>
      <c r="CA23" s="99"/>
      <c r="CB23" s="99" t="str">
        <f>IF(OR(ISBLANK(AF12),ISBLANK(AF9),ISBLANK(AF11)),"N/A",IF(CB22=100-AF11-AF9,"ok","&lt;&gt;"))</f>
        <v>N/A</v>
      </c>
      <c r="CC23" s="99"/>
      <c r="CD23" s="99" t="str">
        <f>IF(OR(ISBLANK(AH12),ISBLANK(AH9),ISBLANK(AH11)),"N/A",IF(CD22=100-AH11-AH9,"ok","&lt;&gt;"))</f>
        <v>N/A</v>
      </c>
      <c r="CE23" s="99"/>
      <c r="CF23" s="99" t="str">
        <f>IF(OR(ISBLANK(AJ12),ISBLANK(AJ9),ISBLANK(AJ11)),"N/A",IF(CF22=100-AJ11-AJ9,"ok","&lt;&gt;"))</f>
        <v>N/A</v>
      </c>
      <c r="CG23" s="99"/>
      <c r="CH23" s="99" t="str">
        <f>IF(OR(ISBLANK(AL12),ISBLANK(AL9),ISBLANK(AL11)),"N/A",IF(CH22=100-AL11-AL9,"ok","&lt;&gt;"))</f>
        <v>N/A</v>
      </c>
      <c r="CI23" s="99"/>
      <c r="CJ23" s="99" t="str">
        <f>IF(OR(ISBLANK(AN12),ISBLANK(AN9),ISBLANK(AN11)),"N/A",IF(CJ22=100-AN11-AN9,"ok","&lt;&gt;"))</f>
        <v>N/A</v>
      </c>
      <c r="CK23" s="99"/>
      <c r="CL23" s="99" t="str">
        <f>IF(OR(ISBLANK(AP12),ISBLANK(AP9),ISBLANK(AP11)),"N/A",IF(CL22=100-AP11-AP9,"ok","&lt;&gt;"))</f>
        <v>N/A</v>
      </c>
      <c r="CM23" s="99"/>
      <c r="CN23" s="99" t="str">
        <f>IF(OR(ISBLANK(AR12),ISBLANK(AR9),ISBLANK(AR11)),"N/A",IF(CN22=100-AR11-AR9,"ok","&lt;&gt;"))</f>
        <v>N/A</v>
      </c>
      <c r="CO23" s="99"/>
      <c r="CP23" s="99" t="str">
        <f>IF(OR(ISBLANK(AT12),ISBLANK(AT9),ISBLANK(AT11)),"N/A",IF(CP22=100-AT11-AT9,"ok","&lt;&gt;"))</f>
        <v>N/A</v>
      </c>
      <c r="CQ23" s="99"/>
      <c r="CR23" s="99" t="str">
        <f>IF(OR(ISBLANK(AV12),ISBLANK(AV9),ISBLANK(AV11)),"N/A",IF(CR22=100-AV11-AV9,"ok","&lt;&gt;"))</f>
        <v>N/A</v>
      </c>
    </row>
    <row r="24" spans="3:96" ht="18" customHeight="1">
      <c r="C24" s="569"/>
      <c r="D24" s="759"/>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c r="AR24" s="760"/>
      <c r="AS24" s="760"/>
      <c r="AT24" s="760"/>
      <c r="AU24" s="760"/>
      <c r="AV24" s="760"/>
      <c r="AW24" s="760"/>
      <c r="AX24" s="761"/>
      <c r="AY24" s="327" t="s">
        <v>66</v>
      </c>
      <c r="AZ24" s="328" t="s">
        <v>67</v>
      </c>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row>
    <row r="25" spans="3:96" ht="18" customHeight="1">
      <c r="C25" s="569"/>
      <c r="D25" s="759"/>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1"/>
      <c r="AY25" s="327" t="s">
        <v>68</v>
      </c>
      <c r="AZ25" s="328" t="s">
        <v>69</v>
      </c>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row>
    <row r="26" spans="3:96" ht="18" customHeight="1">
      <c r="C26" s="569"/>
      <c r="D26" s="759"/>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1"/>
      <c r="AY26" s="329" t="s">
        <v>71</v>
      </c>
      <c r="AZ26" s="328" t="s">
        <v>73</v>
      </c>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row>
    <row r="27" spans="3:96" ht="18" customHeight="1">
      <c r="C27" s="569"/>
      <c r="D27" s="759"/>
      <c r="E27" s="760"/>
      <c r="F27" s="760"/>
      <c r="G27" s="760"/>
      <c r="H27" s="760"/>
      <c r="I27" s="760"/>
      <c r="J27" s="760"/>
      <c r="K27" s="760"/>
      <c r="L27" s="760"/>
      <c r="M27" s="760"/>
      <c r="N27" s="760"/>
      <c r="O27" s="760"/>
      <c r="P27" s="760"/>
      <c r="Q27" s="760"/>
      <c r="R27" s="760"/>
      <c r="S27" s="760"/>
      <c r="T27" s="760"/>
      <c r="U27" s="760"/>
      <c r="V27" s="760"/>
      <c r="W27" s="760"/>
      <c r="X27" s="760"/>
      <c r="Y27" s="760"/>
      <c r="Z27" s="760"/>
      <c r="AA27" s="760"/>
      <c r="AB27" s="760"/>
      <c r="AC27" s="760"/>
      <c r="AD27" s="760"/>
      <c r="AE27" s="760"/>
      <c r="AF27" s="760"/>
      <c r="AG27" s="760"/>
      <c r="AH27" s="760"/>
      <c r="AI27" s="760"/>
      <c r="AJ27" s="760"/>
      <c r="AK27" s="760"/>
      <c r="AL27" s="760"/>
      <c r="AM27" s="760"/>
      <c r="AN27" s="760"/>
      <c r="AO27" s="760"/>
      <c r="AP27" s="760"/>
      <c r="AQ27" s="760"/>
      <c r="AR27" s="760"/>
      <c r="AS27" s="760"/>
      <c r="AT27" s="760"/>
      <c r="AU27" s="760"/>
      <c r="AV27" s="760"/>
      <c r="AW27" s="760"/>
      <c r="AX27" s="761"/>
      <c r="AY27" s="329" t="s">
        <v>70</v>
      </c>
      <c r="AZ27" s="328" t="s">
        <v>14</v>
      </c>
      <c r="BA27" s="100"/>
      <c r="BB27" s="100"/>
      <c r="BC27" s="100"/>
      <c r="BD27" s="118"/>
      <c r="BE27" s="118"/>
      <c r="BF27" s="118"/>
      <c r="BG27" s="118"/>
      <c r="BH27" s="118"/>
      <c r="BI27" s="118"/>
      <c r="BJ27" s="118"/>
      <c r="BK27" s="118"/>
      <c r="BL27" s="118"/>
      <c r="BM27" s="118"/>
      <c r="BN27" s="118"/>
      <c r="BO27" s="118"/>
      <c r="BP27" s="118"/>
      <c r="BQ27" s="118"/>
      <c r="BR27" s="100"/>
      <c r="BS27" s="100"/>
      <c r="BT27" s="100"/>
      <c r="BU27" s="100"/>
      <c r="BV27" s="100"/>
      <c r="BW27" s="100"/>
      <c r="BX27" s="100"/>
      <c r="BY27" s="100"/>
      <c r="BZ27" s="100"/>
      <c r="CA27" s="100"/>
      <c r="CB27" s="100"/>
      <c r="CC27" s="100"/>
      <c r="CD27" s="118"/>
      <c r="CE27" s="118"/>
      <c r="CF27" s="100"/>
      <c r="CG27" s="100"/>
      <c r="CH27" s="100"/>
      <c r="CI27" s="100"/>
      <c r="CJ27" s="100"/>
      <c r="CK27" s="100"/>
      <c r="CL27" s="100"/>
      <c r="CM27" s="100"/>
      <c r="CN27" s="100"/>
      <c r="CO27" s="100"/>
      <c r="CP27" s="100"/>
      <c r="CQ27" s="100"/>
      <c r="CR27" s="100"/>
    </row>
    <row r="28" spans="3:96" ht="18" customHeight="1">
      <c r="C28" s="569"/>
      <c r="D28" s="759"/>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760"/>
      <c r="AT28" s="760"/>
      <c r="AU28" s="760"/>
      <c r="AV28" s="760"/>
      <c r="AW28" s="760"/>
      <c r="AX28" s="761"/>
      <c r="BA28" s="100"/>
      <c r="BB28" s="100"/>
      <c r="BC28" s="100"/>
      <c r="BD28" s="118"/>
      <c r="BE28" s="118"/>
      <c r="BF28" s="118"/>
      <c r="BG28" s="118"/>
      <c r="BH28" s="118"/>
      <c r="BI28" s="118"/>
      <c r="BJ28" s="118"/>
      <c r="BK28" s="118"/>
      <c r="BL28" s="118"/>
      <c r="BM28" s="118"/>
      <c r="BN28" s="118"/>
      <c r="BO28" s="118"/>
      <c r="BP28" s="118"/>
      <c r="BQ28" s="118"/>
      <c r="BR28" s="100"/>
      <c r="BS28" s="100"/>
      <c r="BT28" s="100"/>
      <c r="BU28" s="100"/>
      <c r="BV28" s="100"/>
      <c r="BW28" s="100"/>
      <c r="BX28" s="100"/>
      <c r="BY28" s="100"/>
      <c r="BZ28" s="100"/>
      <c r="CA28" s="100"/>
      <c r="CB28" s="100"/>
      <c r="CC28" s="100"/>
      <c r="CD28" s="118"/>
      <c r="CE28" s="118"/>
      <c r="CF28" s="100"/>
      <c r="CG28" s="100"/>
      <c r="CH28" s="100"/>
      <c r="CI28" s="100"/>
      <c r="CJ28" s="100"/>
      <c r="CK28" s="100"/>
      <c r="CL28" s="100"/>
      <c r="CM28" s="100"/>
      <c r="CN28" s="100"/>
      <c r="CO28" s="100"/>
      <c r="CP28" s="100"/>
      <c r="CQ28" s="100"/>
      <c r="CR28" s="100"/>
    </row>
    <row r="29" spans="3:96" ht="18" customHeight="1">
      <c r="C29" s="569"/>
      <c r="D29" s="759"/>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0"/>
      <c r="AW29" s="760"/>
      <c r="AX29" s="761"/>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row>
    <row r="30" spans="3:96" ht="18" customHeight="1">
      <c r="C30" s="569"/>
      <c r="D30" s="759"/>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M30" s="760"/>
      <c r="AN30" s="760"/>
      <c r="AO30" s="760"/>
      <c r="AP30" s="760"/>
      <c r="AQ30" s="760"/>
      <c r="AR30" s="760"/>
      <c r="AS30" s="760"/>
      <c r="AT30" s="760"/>
      <c r="AU30" s="760"/>
      <c r="AV30" s="760"/>
      <c r="AW30" s="760"/>
      <c r="AX30" s="761"/>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row>
    <row r="31" spans="3:52" ht="18" customHeight="1">
      <c r="C31" s="569"/>
      <c r="D31" s="759"/>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c r="AT31" s="760"/>
      <c r="AU31" s="760"/>
      <c r="AV31" s="760"/>
      <c r="AW31" s="760"/>
      <c r="AX31" s="761"/>
      <c r="AZ31" s="330"/>
    </row>
    <row r="32" spans="3:50" ht="18" customHeight="1">
      <c r="C32" s="569"/>
      <c r="D32" s="759"/>
      <c r="E32" s="760"/>
      <c r="F32" s="760"/>
      <c r="G32" s="760"/>
      <c r="H32" s="760"/>
      <c r="I32" s="760"/>
      <c r="J32" s="760"/>
      <c r="K32" s="760"/>
      <c r="L32" s="760"/>
      <c r="M32" s="760"/>
      <c r="N32" s="760"/>
      <c r="O32" s="760"/>
      <c r="P32" s="760"/>
      <c r="Q32" s="760"/>
      <c r="R32" s="760"/>
      <c r="S32" s="760"/>
      <c r="T32" s="760"/>
      <c r="U32" s="760"/>
      <c r="V32" s="760"/>
      <c r="W32" s="760"/>
      <c r="X32" s="760"/>
      <c r="Y32" s="760"/>
      <c r="Z32" s="760"/>
      <c r="AA32" s="760"/>
      <c r="AB32" s="760"/>
      <c r="AC32" s="760"/>
      <c r="AD32" s="760"/>
      <c r="AE32" s="760"/>
      <c r="AF32" s="760"/>
      <c r="AG32" s="760"/>
      <c r="AH32" s="760"/>
      <c r="AI32" s="760"/>
      <c r="AJ32" s="760"/>
      <c r="AK32" s="760"/>
      <c r="AL32" s="760"/>
      <c r="AM32" s="760"/>
      <c r="AN32" s="760"/>
      <c r="AO32" s="760"/>
      <c r="AP32" s="760"/>
      <c r="AQ32" s="760"/>
      <c r="AR32" s="760"/>
      <c r="AS32" s="760"/>
      <c r="AT32" s="760"/>
      <c r="AU32" s="760"/>
      <c r="AV32" s="760"/>
      <c r="AW32" s="760"/>
      <c r="AX32" s="761"/>
    </row>
    <row r="33" spans="3:50" ht="18" customHeight="1">
      <c r="C33" s="569"/>
      <c r="D33" s="759"/>
      <c r="E33" s="760"/>
      <c r="F33" s="760"/>
      <c r="G33" s="760"/>
      <c r="H33" s="760"/>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0"/>
      <c r="AR33" s="760"/>
      <c r="AS33" s="760"/>
      <c r="AT33" s="760"/>
      <c r="AU33" s="760"/>
      <c r="AV33" s="760"/>
      <c r="AW33" s="760"/>
      <c r="AX33" s="761"/>
    </row>
    <row r="34" spans="3:50" ht="18" customHeight="1">
      <c r="C34" s="569"/>
      <c r="D34" s="759"/>
      <c r="E34" s="760"/>
      <c r="F34" s="760"/>
      <c r="G34" s="760"/>
      <c r="H34" s="760"/>
      <c r="I34" s="760"/>
      <c r="J34" s="760"/>
      <c r="K34" s="760"/>
      <c r="L34" s="760"/>
      <c r="M34" s="760"/>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760"/>
      <c r="AL34" s="760"/>
      <c r="AM34" s="760"/>
      <c r="AN34" s="760"/>
      <c r="AO34" s="760"/>
      <c r="AP34" s="760"/>
      <c r="AQ34" s="760"/>
      <c r="AR34" s="760"/>
      <c r="AS34" s="760"/>
      <c r="AT34" s="760"/>
      <c r="AU34" s="760"/>
      <c r="AV34" s="760"/>
      <c r="AW34" s="760"/>
      <c r="AX34" s="761"/>
    </row>
    <row r="35" spans="3:50" ht="18" customHeight="1">
      <c r="C35" s="569"/>
      <c r="D35" s="759"/>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0"/>
      <c r="AU35" s="760"/>
      <c r="AV35" s="760"/>
      <c r="AW35" s="760"/>
      <c r="AX35" s="761"/>
    </row>
    <row r="36" spans="3:50" ht="18" customHeight="1">
      <c r="C36" s="569"/>
      <c r="D36" s="759"/>
      <c r="E36" s="760"/>
      <c r="F36" s="760"/>
      <c r="G36" s="760"/>
      <c r="H36" s="760"/>
      <c r="I36" s="760"/>
      <c r="J36" s="760"/>
      <c r="K36" s="760"/>
      <c r="L36" s="760"/>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c r="AQ36" s="760"/>
      <c r="AR36" s="760"/>
      <c r="AS36" s="760"/>
      <c r="AT36" s="760"/>
      <c r="AU36" s="760"/>
      <c r="AV36" s="760"/>
      <c r="AW36" s="760"/>
      <c r="AX36" s="761"/>
    </row>
    <row r="37" spans="3:50" ht="18" customHeight="1">
      <c r="C37" s="569"/>
      <c r="D37" s="759"/>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0"/>
      <c r="AW37" s="760"/>
      <c r="AX37" s="761"/>
    </row>
    <row r="38" spans="3:50" ht="18" customHeight="1">
      <c r="C38" s="569"/>
      <c r="D38" s="759"/>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c r="AQ38" s="760"/>
      <c r="AR38" s="760"/>
      <c r="AS38" s="760"/>
      <c r="AT38" s="760"/>
      <c r="AU38" s="760"/>
      <c r="AV38" s="760"/>
      <c r="AW38" s="760"/>
      <c r="AX38" s="761"/>
    </row>
    <row r="39" spans="3:50" ht="18" customHeight="1">
      <c r="C39" s="569"/>
      <c r="D39" s="759"/>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1"/>
    </row>
    <row r="40" spans="3:50" ht="18" customHeight="1">
      <c r="C40" s="569"/>
      <c r="D40" s="759"/>
      <c r="E40" s="760"/>
      <c r="F40" s="760"/>
      <c r="G40" s="760"/>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1"/>
    </row>
    <row r="41" spans="3:50" ht="18" customHeight="1">
      <c r="C41" s="569"/>
      <c r="D41" s="759"/>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1"/>
    </row>
    <row r="42" spans="3:50" ht="18" customHeight="1">
      <c r="C42" s="620"/>
      <c r="D42" s="759"/>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0"/>
      <c r="AX42" s="761"/>
    </row>
    <row r="43" spans="3:50" ht="18" customHeight="1">
      <c r="C43" s="618"/>
      <c r="D43" s="771"/>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3"/>
    </row>
    <row r="44" spans="1:96" s="295" customFormat="1" ht="10.5" customHeight="1">
      <c r="A44" s="497"/>
      <c r="B44" s="435"/>
      <c r="C44" s="445"/>
      <c r="D44" s="445"/>
      <c r="E44" s="202"/>
      <c r="F44" s="331"/>
      <c r="G44" s="331"/>
      <c r="H44" s="230"/>
      <c r="I44" s="231"/>
      <c r="J44" s="232"/>
      <c r="K44" s="231"/>
      <c r="L44" s="232"/>
      <c r="M44" s="231"/>
      <c r="N44" s="232"/>
      <c r="O44" s="231"/>
      <c r="P44" s="232"/>
      <c r="Q44" s="231"/>
      <c r="R44" s="232"/>
      <c r="S44" s="231"/>
      <c r="T44" s="232"/>
      <c r="U44" s="231"/>
      <c r="V44" s="232"/>
      <c r="W44" s="231"/>
      <c r="X44" s="230"/>
      <c r="Y44" s="231"/>
      <c r="Z44" s="230"/>
      <c r="AA44" s="231"/>
      <c r="AB44" s="230"/>
      <c r="AC44" s="231"/>
      <c r="AD44" s="230"/>
      <c r="AE44" s="231"/>
      <c r="AF44" s="230"/>
      <c r="AG44" s="498"/>
      <c r="AH44" s="230"/>
      <c r="AI44" s="231"/>
      <c r="AJ44" s="232"/>
      <c r="AK44" s="231"/>
      <c r="AL44" s="230"/>
      <c r="AM44" s="231"/>
      <c r="AN44" s="230"/>
      <c r="AO44" s="353"/>
      <c r="AP44" s="353"/>
      <c r="AQ44" s="353"/>
      <c r="AR44" s="353"/>
      <c r="AS44" s="353"/>
      <c r="AT44" s="348"/>
      <c r="AU44" s="353"/>
      <c r="AV44" s="348"/>
      <c r="AW44" s="353"/>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row>
    <row r="45" spans="3:7" ht="12.75">
      <c r="C45" s="226"/>
      <c r="D45" s="226"/>
      <c r="F45" s="331"/>
      <c r="G45" s="331"/>
    </row>
    <row r="46" spans="3:4" ht="12.75">
      <c r="C46" s="226"/>
      <c r="D46" s="226"/>
    </row>
    <row r="47" spans="3:4" ht="12.75">
      <c r="C47" s="226"/>
      <c r="D47" s="226"/>
    </row>
    <row r="48" spans="3:4" ht="12.75">
      <c r="C48" s="226"/>
      <c r="D48" s="226"/>
    </row>
    <row r="49" spans="3:4" ht="12.75">
      <c r="C49" s="226"/>
      <c r="D49" s="226"/>
    </row>
    <row r="50" spans="3:4" ht="12.75">
      <c r="C50" s="226"/>
      <c r="D50" s="226"/>
    </row>
    <row r="51" spans="3:4" ht="12.75">
      <c r="C51" s="226"/>
      <c r="D51" s="226"/>
    </row>
    <row r="52" spans="3:4" ht="12.75">
      <c r="C52" s="226"/>
      <c r="D52" s="226"/>
    </row>
    <row r="53" spans="3:4" ht="12.75">
      <c r="C53" s="226"/>
      <c r="D53" s="226"/>
    </row>
    <row r="54" spans="3:4" ht="12.75">
      <c r="C54" s="226"/>
      <c r="D54" s="226"/>
    </row>
    <row r="55" spans="3:4" ht="12.75">
      <c r="C55" s="226"/>
      <c r="D55" s="226"/>
    </row>
    <row r="56" spans="3:4" ht="12.75">
      <c r="C56" s="226"/>
      <c r="D56" s="226"/>
    </row>
    <row r="57" spans="3:4" ht="12.75">
      <c r="C57" s="226"/>
      <c r="D57" s="226"/>
    </row>
    <row r="58" spans="3:4" ht="12.75">
      <c r="C58" s="226"/>
      <c r="D58" s="226"/>
    </row>
    <row r="59" spans="3:4" ht="12.75">
      <c r="C59" s="226"/>
      <c r="D59" s="226"/>
    </row>
    <row r="60" spans="3:4" ht="12.75">
      <c r="C60" s="226"/>
      <c r="D60" s="226"/>
    </row>
    <row r="61" spans="3:4" ht="12.75">
      <c r="C61" s="226"/>
      <c r="D61" s="226"/>
    </row>
    <row r="62" spans="3:4" ht="12.75">
      <c r="C62" s="226"/>
      <c r="D62" s="226"/>
    </row>
    <row r="63" spans="3:4" ht="12.75">
      <c r="C63" s="226"/>
      <c r="D63" s="226"/>
    </row>
    <row r="64" spans="3:4" ht="12.75">
      <c r="C64" s="226"/>
      <c r="D64" s="226"/>
    </row>
    <row r="65" spans="3:4" ht="12.75">
      <c r="C65" s="226"/>
      <c r="D65" s="226"/>
    </row>
    <row r="66" spans="3:4" ht="12.75">
      <c r="C66" s="226"/>
      <c r="D66" s="226"/>
    </row>
    <row r="67" spans="3:4" ht="12.75">
      <c r="C67" s="226"/>
      <c r="D67" s="226"/>
    </row>
    <row r="68" spans="3:4" ht="12.75">
      <c r="C68" s="226"/>
      <c r="D68" s="226"/>
    </row>
    <row r="69" spans="3:4" ht="12.75">
      <c r="C69" s="226"/>
      <c r="D69" s="226"/>
    </row>
    <row r="70" spans="3:4" ht="12.75">
      <c r="C70" s="226"/>
      <c r="D70" s="226"/>
    </row>
    <row r="71" spans="3:4" ht="12.75">
      <c r="C71" s="226"/>
      <c r="D71" s="226"/>
    </row>
    <row r="72" spans="3:4" ht="12.75">
      <c r="C72" s="226"/>
      <c r="D72" s="226"/>
    </row>
    <row r="73" spans="3:4" ht="12.75">
      <c r="C73" s="226"/>
      <c r="D73" s="226"/>
    </row>
  </sheetData>
  <sheetProtection sheet="1"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25" dxfId="330" operator="greaterThan" stopIfTrue="1">
      <formula>100-F9-F11+0.1</formula>
    </cfRule>
  </conditionalFormatting>
  <conditionalFormatting sqref="H12">
    <cfRule type="cellIs" priority="24" dxfId="330" operator="greaterThan" stopIfTrue="1">
      <formula>100-H9-H11+0.1</formula>
    </cfRule>
  </conditionalFormatting>
  <conditionalFormatting sqref="J12">
    <cfRule type="cellIs" priority="23" dxfId="330" operator="greaterThan" stopIfTrue="1">
      <formula>100-J9-J11+0.1</formula>
    </cfRule>
  </conditionalFormatting>
  <conditionalFormatting sqref="L12">
    <cfRule type="cellIs" priority="22" dxfId="330" operator="greaterThan" stopIfTrue="1">
      <formula>100-L9-L11+0.1</formula>
    </cfRule>
  </conditionalFormatting>
  <conditionalFormatting sqref="N12">
    <cfRule type="cellIs" priority="21" dxfId="330" operator="greaterThan" stopIfTrue="1">
      <formula>100-N9-N11+0.1</formula>
    </cfRule>
  </conditionalFormatting>
  <conditionalFormatting sqref="P12">
    <cfRule type="cellIs" priority="20" dxfId="330" operator="greaterThan" stopIfTrue="1">
      <formula>100-P9-P11+0.1</formula>
    </cfRule>
  </conditionalFormatting>
  <conditionalFormatting sqref="R12">
    <cfRule type="cellIs" priority="19" dxfId="330" operator="greaterThan" stopIfTrue="1">
      <formula>100-R9-R11+0.1</formula>
    </cfRule>
  </conditionalFormatting>
  <conditionalFormatting sqref="T12">
    <cfRule type="cellIs" priority="18" dxfId="330" operator="greaterThan" stopIfTrue="1">
      <formula>100-T9-T11+0.1</formula>
    </cfRule>
  </conditionalFormatting>
  <conditionalFormatting sqref="V12">
    <cfRule type="cellIs" priority="17" dxfId="330" operator="greaterThan" stopIfTrue="1">
      <formula>100-V9-V11+0.1</formula>
    </cfRule>
  </conditionalFormatting>
  <conditionalFormatting sqref="X12">
    <cfRule type="cellIs" priority="16" dxfId="330" operator="greaterThan" stopIfTrue="1">
      <formula>100-X9-X11+0.1</formula>
    </cfRule>
  </conditionalFormatting>
  <conditionalFormatting sqref="Z12">
    <cfRule type="cellIs" priority="15" dxfId="330" operator="greaterThan" stopIfTrue="1">
      <formula>100-Z9-Z11+0.1</formula>
    </cfRule>
  </conditionalFormatting>
  <conditionalFormatting sqref="AB12">
    <cfRule type="cellIs" priority="14" dxfId="330" operator="greaterThan" stopIfTrue="1">
      <formula>100-AB9-AB11+0.1</formula>
    </cfRule>
  </conditionalFormatting>
  <conditionalFormatting sqref="AD12">
    <cfRule type="cellIs" priority="13" dxfId="330" operator="greaterThan" stopIfTrue="1">
      <formula>100-AD9-AD11+0.1</formula>
    </cfRule>
  </conditionalFormatting>
  <conditionalFormatting sqref="AF12">
    <cfRule type="cellIs" priority="12" dxfId="330" operator="greaterThan" stopIfTrue="1">
      <formula>100-AF9-AF11+0.1</formula>
    </cfRule>
  </conditionalFormatting>
  <conditionalFormatting sqref="AH12">
    <cfRule type="cellIs" priority="11" dxfId="330" operator="greaterThan" stopIfTrue="1">
      <formula>100-AH9-AH11+0.1</formula>
    </cfRule>
  </conditionalFormatting>
  <conditionalFormatting sqref="AJ12">
    <cfRule type="cellIs" priority="10" dxfId="330" operator="greaterThan" stopIfTrue="1">
      <formula>100-AJ9-AJ11+0.1</formula>
    </cfRule>
  </conditionalFormatting>
  <conditionalFormatting sqref="AL12">
    <cfRule type="cellIs" priority="9" dxfId="330" operator="greaterThan" stopIfTrue="1">
      <formula>100-AL9-AL11+0.1</formula>
    </cfRule>
  </conditionalFormatting>
  <conditionalFormatting sqref="AN12">
    <cfRule type="cellIs" priority="8" dxfId="330" operator="greaterThan" stopIfTrue="1">
      <formula>100-AN9-AN11+0.1</formula>
    </cfRule>
  </conditionalFormatting>
  <conditionalFormatting sqref="AP12">
    <cfRule type="cellIs" priority="7" dxfId="330" operator="greaterThan" stopIfTrue="1">
      <formula>100-AP9-AP11+0.1</formula>
    </cfRule>
  </conditionalFormatting>
  <conditionalFormatting sqref="AR12">
    <cfRule type="cellIs" priority="6" dxfId="330" operator="greaterThan" stopIfTrue="1">
      <formula>100-AR9-AR11+0.1</formula>
    </cfRule>
  </conditionalFormatting>
  <conditionalFormatting sqref="AT12">
    <cfRule type="cellIs" priority="5" dxfId="330" operator="greaterThan" stopIfTrue="1">
      <formula>100-AT9-AT11+0.1</formula>
    </cfRule>
  </conditionalFormatting>
  <conditionalFormatting sqref="AV12">
    <cfRule type="cellIs" priority="4" dxfId="330" operator="greaterThan" stopIfTrue="1">
      <formula>100-AV9-AV11+0.1</formula>
    </cfRule>
  </conditionalFormatting>
  <conditionalFormatting sqref="BX20 BV20 BT20 BR20 CH20 CJ20 CL20 CF20 CB20 BZ20 BB20 CR20 CN20 CP20">
    <cfRule type="cellIs" priority="1" dxfId="330" operator="lessThan" stopIfTrue="1">
      <formula>BB21</formula>
    </cfRule>
  </conditionalFormatting>
  <conditionalFormatting sqref="CR18 CL21 CR21 CL23 BB23 BB21 BB18 BD18 BD23 BD21 BL21 BL18 BL23 BN23 BN21 BN18 BP18 BP23 BP21 BR21 BR18 BR23 BT23 BT21 BT18 BV18 BV23 BV21 CP18 CP23 CR23 CP21 CN18 CN21 CN23 CJ21 CJ18 CL18 CH21 CH23 CJ23 CF21 CF18 CH18 CD21 CD23 CF23 CB21 CB18 CD18 BZ21 BZ23 CB23 BX23 BX21 BX18 BZ18 BF21 BH21 BJ21 BF18 BH18 BJ18 BF23 BH23 BJ23">
    <cfRule type="cellIs" priority="2" dxfId="330" operator="equal" stopIfTrue="1">
      <formula>"&lt;&gt;"</formula>
    </cfRule>
  </conditionalFormatting>
  <conditionalFormatting sqref="BN8:BN12 BP8:BP12 BR8:BR12 BT8:BT12 BV8:BV12 CR8:CR12 CP8:CP12 CN8:CN12 CL8:CL12 CJ8:CJ12 CH8:CH12 CF8:CF12 CD8:CD12 CB8:CB12 BX8:BX12 BZ8:BZ12 BF8:BF12 BH8:BH12 BJ8:BJ12 BL8:BL12 BD8:BD12">
    <cfRule type="cellIs" priority="3" dxfId="330"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2014-03-13T22:42:59Z</cp:lastPrinted>
  <dcterms:created xsi:type="dcterms:W3CDTF">2001-01-18T18:38:40Z</dcterms:created>
  <dcterms:modified xsi:type="dcterms:W3CDTF">2017-10-30T17:25:39Z</dcterms:modified>
  <cp:category/>
  <cp:version/>
  <cp:contentType/>
  <cp:contentStatus/>
</cp:coreProperties>
</file>