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N:\UNSD\environment\Questionnaires\Q2016\Final tables\Morocco\"/>
    </mc:Choice>
  </mc:AlternateContent>
  <bookViews>
    <workbookView xWindow="510" yWindow="-165" windowWidth="19320" windowHeight="13620" tabRatio="743"/>
  </bookViews>
  <sheets>
    <sheet name="Table des matières" sheetId="54" r:id="rId1"/>
    <sheet name="Recommandations" sheetId="27" r:id="rId2"/>
    <sheet name="Définitions" sheetId="29" r:id="rId3"/>
    <sheet name="Diagram" sheetId="55" r:id="rId4"/>
    <sheet name="W1" sheetId="49" r:id="rId5"/>
    <sheet name="W2" sheetId="50" r:id="rId6"/>
    <sheet name="W3" sheetId="41" r:id="rId7"/>
    <sheet name="W4" sheetId="52" r:id="rId8"/>
    <sheet name="W5" sheetId="53" r:id="rId9"/>
    <sheet name="W6" sheetId="44" r:id="rId10"/>
  </sheets>
  <externalReferences>
    <externalReference r:id="rId11"/>
  </externalReference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'W2'!$A$54:$D$75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Définitions!$B$1:$D$70</definedName>
    <definedName name="_xlnm.Print_Area" localSheetId="3">Diagram!$B$1:$V$38</definedName>
    <definedName name="_xlnm.Print_Area" localSheetId="4">'W1'!$C$1:$AY$57</definedName>
    <definedName name="_xlnm.Print_Area" localSheetId="5">'W2'!$C$1:$AX$76</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Définitions!$13:$15</definedName>
    <definedName name="_xlnm.Print_Titles" localSheetId="3">Diagram!$1:$4</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71027" concurrentCalc="0"/>
</workbook>
</file>

<file path=xl/calcChain.xml><?xml version="1.0" encoding="utf-8"?>
<calcChain xmlns="http://schemas.openxmlformats.org/spreadsheetml/2006/main">
  <c r="T31" i="55" l="1"/>
  <c r="T29" i="55"/>
  <c r="O28" i="55"/>
  <c r="T27" i="55"/>
  <c r="I27" i="55"/>
  <c r="T25" i="55"/>
  <c r="Q25" i="55"/>
  <c r="I25" i="55"/>
  <c r="P24" i="55"/>
  <c r="N24" i="55"/>
  <c r="T23" i="55"/>
  <c r="I23" i="55"/>
  <c r="E21" i="55"/>
  <c r="J19" i="55"/>
  <c r="I19" i="55"/>
  <c r="H19" i="55"/>
  <c r="G19" i="55"/>
  <c r="F19" i="55"/>
  <c r="E19" i="55"/>
  <c r="E17" i="55"/>
  <c r="J15" i="55"/>
  <c r="G14" i="55"/>
  <c r="E14" i="55"/>
  <c r="J13" i="55"/>
  <c r="G12" i="55"/>
  <c r="H8" i="55"/>
  <c r="G8" i="55"/>
  <c r="CS23" i="53"/>
  <c r="CQ23" i="53"/>
  <c r="CO23" i="53"/>
  <c r="CM23" i="53"/>
  <c r="CK23" i="53"/>
  <c r="CI23" i="53"/>
  <c r="CG23" i="53"/>
  <c r="CE23" i="53"/>
  <c r="CC23" i="53"/>
  <c r="CA23" i="53"/>
  <c r="BY23" i="53"/>
  <c r="BW23" i="53"/>
  <c r="BU23" i="53"/>
  <c r="BS23" i="53"/>
  <c r="BQ23" i="53"/>
  <c r="BO23" i="53"/>
  <c r="BM23" i="53"/>
  <c r="BK23" i="53"/>
  <c r="BI23" i="53"/>
  <c r="BG23" i="53"/>
  <c r="BE23" i="53"/>
  <c r="BC23" i="53"/>
  <c r="CS22" i="53"/>
  <c r="CQ22" i="53"/>
  <c r="CO22" i="53"/>
  <c r="CM22" i="53"/>
  <c r="CK22" i="53"/>
  <c r="CI22" i="53"/>
  <c r="CG22" i="53"/>
  <c r="CE22" i="53"/>
  <c r="CC22" i="53"/>
  <c r="CA22" i="53"/>
  <c r="BY22" i="53"/>
  <c r="BW22" i="53"/>
  <c r="BU22" i="53"/>
  <c r="BS22" i="53"/>
  <c r="BQ22" i="53"/>
  <c r="BO22" i="53"/>
  <c r="BM22" i="53"/>
  <c r="BK22" i="53"/>
  <c r="BI22" i="53"/>
  <c r="BG22" i="53"/>
  <c r="BE22" i="53"/>
  <c r="BC22" i="53"/>
  <c r="CS21" i="53"/>
  <c r="CQ21" i="53"/>
  <c r="CO21" i="53"/>
  <c r="CM21" i="53"/>
  <c r="CK21" i="53"/>
  <c r="CI21" i="53"/>
  <c r="CG21" i="53"/>
  <c r="CE21" i="53"/>
  <c r="CC21" i="53"/>
  <c r="CA21" i="53"/>
  <c r="BY21" i="53"/>
  <c r="BW21" i="53"/>
  <c r="BU21" i="53"/>
  <c r="BS21" i="53"/>
  <c r="BQ21" i="53"/>
  <c r="BO21" i="53"/>
  <c r="BM21" i="53"/>
  <c r="BK21" i="53"/>
  <c r="BI21" i="53"/>
  <c r="BG21" i="53"/>
  <c r="BE21" i="53"/>
  <c r="BC21" i="53"/>
  <c r="CS19" i="53"/>
  <c r="CQ19" i="53"/>
  <c r="CO19" i="53"/>
  <c r="CM19" i="53"/>
  <c r="CK19" i="53"/>
  <c r="CI19" i="53"/>
  <c r="CG19" i="53"/>
  <c r="CE19" i="53"/>
  <c r="CC19" i="53"/>
  <c r="CA19" i="53"/>
  <c r="BY19" i="53"/>
  <c r="BW19" i="53"/>
  <c r="BU19" i="53"/>
  <c r="BS19" i="53"/>
  <c r="BQ19" i="53"/>
  <c r="BO19" i="53"/>
  <c r="BM19" i="53"/>
  <c r="BK19" i="53"/>
  <c r="BI19" i="53"/>
  <c r="BG19" i="53"/>
  <c r="BE19" i="53"/>
  <c r="BC19" i="53"/>
  <c r="CS18" i="53"/>
  <c r="CQ18" i="53"/>
  <c r="CO18" i="53"/>
  <c r="CM18" i="53"/>
  <c r="CK18" i="53"/>
  <c r="CI18" i="53"/>
  <c r="CG18" i="53"/>
  <c r="CE18" i="53"/>
  <c r="CC18" i="53"/>
  <c r="CA18" i="53"/>
  <c r="BY18" i="53"/>
  <c r="BW18" i="53"/>
  <c r="BU18" i="53"/>
  <c r="BS18" i="53"/>
  <c r="BQ18" i="53"/>
  <c r="BO18" i="53"/>
  <c r="BM18" i="53"/>
  <c r="BK18" i="53"/>
  <c r="BI18" i="53"/>
  <c r="BG18" i="53"/>
  <c r="BE18" i="53"/>
  <c r="BC18" i="53"/>
  <c r="CS17" i="53"/>
  <c r="CQ17" i="53"/>
  <c r="CO17" i="53"/>
  <c r="CM17" i="53"/>
  <c r="CK17" i="53"/>
  <c r="CI17" i="53"/>
  <c r="CG17" i="53"/>
  <c r="CE17" i="53"/>
  <c r="CC17" i="53"/>
  <c r="CA17" i="53"/>
  <c r="BY17" i="53"/>
  <c r="BW17" i="53"/>
  <c r="BU17" i="53"/>
  <c r="BS17" i="53"/>
  <c r="BQ17" i="53"/>
  <c r="BO17" i="53"/>
  <c r="BM17" i="53"/>
  <c r="BK17" i="53"/>
  <c r="BI17" i="53"/>
  <c r="BG17" i="53"/>
  <c r="BE17" i="53"/>
  <c r="BC17" i="53"/>
  <c r="CS16" i="53"/>
  <c r="CQ16" i="53"/>
  <c r="CO16" i="53"/>
  <c r="CM16" i="53"/>
  <c r="CK16" i="53"/>
  <c r="CI16" i="53"/>
  <c r="CG16" i="53"/>
  <c r="CE16" i="53"/>
  <c r="CC16" i="53"/>
  <c r="CA16" i="53"/>
  <c r="BY16" i="53"/>
  <c r="BW16" i="53"/>
  <c r="BU16" i="53"/>
  <c r="BS16" i="53"/>
  <c r="BQ16" i="53"/>
  <c r="BO16" i="53"/>
  <c r="BM16" i="53"/>
  <c r="BK16" i="53"/>
  <c r="BI16" i="53"/>
  <c r="BG16" i="53"/>
  <c r="BE16" i="53"/>
  <c r="BC16" i="53"/>
  <c r="CS12" i="53"/>
  <c r="CQ12" i="53"/>
  <c r="CO12" i="53"/>
  <c r="CM12" i="53"/>
  <c r="CK12" i="53"/>
  <c r="CI12" i="53"/>
  <c r="CG12" i="53"/>
  <c r="CE12" i="53"/>
  <c r="CC12" i="53"/>
  <c r="CA12" i="53"/>
  <c r="BY12" i="53"/>
  <c r="BW12" i="53"/>
  <c r="BU12" i="53"/>
  <c r="BS12" i="53"/>
  <c r="BQ12" i="53"/>
  <c r="BO12" i="53"/>
  <c r="BM12" i="53"/>
  <c r="BK12" i="53"/>
  <c r="BI12" i="53"/>
  <c r="BG12" i="53"/>
  <c r="BE12" i="53"/>
  <c r="CS11" i="53"/>
  <c r="CQ11" i="53"/>
  <c r="CO11" i="53"/>
  <c r="CM11" i="53"/>
  <c r="CK11" i="53"/>
  <c r="CI11" i="53"/>
  <c r="CG11" i="53"/>
  <c r="CE11" i="53"/>
  <c r="CC11" i="53"/>
  <c r="CA11" i="53"/>
  <c r="BY11" i="53"/>
  <c r="BW11" i="53"/>
  <c r="BU11" i="53"/>
  <c r="BS11" i="53"/>
  <c r="BQ11" i="53"/>
  <c r="BO11" i="53"/>
  <c r="BM11" i="53"/>
  <c r="BK11" i="53"/>
  <c r="BI11" i="53"/>
  <c r="BG11" i="53"/>
  <c r="BE11" i="53"/>
  <c r="CS10" i="53"/>
  <c r="CQ10" i="53"/>
  <c r="CO10" i="53"/>
  <c r="CM10" i="53"/>
  <c r="CK10" i="53"/>
  <c r="CI10" i="53"/>
  <c r="CG10" i="53"/>
  <c r="CE10" i="53"/>
  <c r="CC10" i="53"/>
  <c r="CA10" i="53"/>
  <c r="BY10" i="53"/>
  <c r="BW10" i="53"/>
  <c r="BU10" i="53"/>
  <c r="BS10" i="53"/>
  <c r="BQ10" i="53"/>
  <c r="BO10" i="53"/>
  <c r="BM10" i="53"/>
  <c r="BK10" i="53"/>
  <c r="BI10" i="53"/>
  <c r="BG10" i="53"/>
  <c r="BE10" i="53"/>
  <c r="CS9" i="53"/>
  <c r="CQ9" i="53"/>
  <c r="CO9" i="53"/>
  <c r="CM9" i="53"/>
  <c r="CK9" i="53"/>
  <c r="CI9" i="53"/>
  <c r="CG9" i="53"/>
  <c r="CE9" i="53"/>
  <c r="CC9" i="53"/>
  <c r="CA9" i="53"/>
  <c r="BY9" i="53"/>
  <c r="BW9" i="53"/>
  <c r="BU9" i="53"/>
  <c r="BS9" i="53"/>
  <c r="BQ9" i="53"/>
  <c r="BO9" i="53"/>
  <c r="BM9" i="53"/>
  <c r="BK9" i="53"/>
  <c r="BI9" i="53"/>
  <c r="BG9" i="53"/>
  <c r="BE9" i="53"/>
  <c r="CS8" i="53"/>
  <c r="CQ8" i="53"/>
  <c r="CO8" i="53"/>
  <c r="CM8" i="53"/>
  <c r="CK8" i="53"/>
  <c r="CI8" i="53"/>
  <c r="CG8" i="53"/>
  <c r="CE8" i="53"/>
  <c r="CC8" i="53"/>
  <c r="CA8" i="53"/>
  <c r="BY8" i="53"/>
  <c r="BW8" i="53"/>
  <c r="BU8" i="53"/>
  <c r="BS8" i="53"/>
  <c r="BQ8" i="53"/>
  <c r="BO8" i="53"/>
  <c r="BM8" i="53"/>
  <c r="BK8" i="53"/>
  <c r="BI8" i="53"/>
  <c r="BG8" i="53"/>
  <c r="BE8" i="53"/>
  <c r="BE8" i="52"/>
  <c r="BG8" i="52"/>
  <c r="BI8" i="52"/>
  <c r="BK8" i="52"/>
  <c r="BM8" i="52"/>
  <c r="BO8" i="52"/>
  <c r="BQ8" i="52"/>
  <c r="BS8" i="52"/>
  <c r="BU8" i="52"/>
  <c r="BW8" i="52"/>
  <c r="BY8" i="52"/>
  <c r="CA8" i="52"/>
  <c r="CC8" i="52"/>
  <c r="CE8" i="52"/>
  <c r="CG8" i="52"/>
  <c r="CI8" i="52"/>
  <c r="CK8" i="52"/>
  <c r="CM8" i="52"/>
  <c r="CO8" i="52"/>
  <c r="CQ8" i="52"/>
  <c r="CS8" i="52"/>
  <c r="BE9" i="52"/>
  <c r="BG9" i="52"/>
  <c r="BI9" i="52"/>
  <c r="BK9" i="52"/>
  <c r="BM9" i="52"/>
  <c r="BO9" i="52"/>
  <c r="BQ9" i="52"/>
  <c r="BS9" i="52"/>
  <c r="BU9" i="52"/>
  <c r="BW9" i="52"/>
  <c r="BY9" i="52"/>
  <c r="CA9" i="52"/>
  <c r="CC9" i="52"/>
  <c r="CE9" i="52"/>
  <c r="CG9" i="52"/>
  <c r="CI9" i="52"/>
  <c r="CK9" i="52"/>
  <c r="CM9" i="52"/>
  <c r="CO9" i="52"/>
  <c r="CQ9" i="52"/>
  <c r="CS9" i="52"/>
  <c r="BE10" i="52"/>
  <c r="BG10" i="52"/>
  <c r="BI10" i="52"/>
  <c r="BK10" i="52"/>
  <c r="BM10" i="52"/>
  <c r="BO10" i="52"/>
  <c r="BQ10" i="52"/>
  <c r="BS10" i="52"/>
  <c r="BU10" i="52"/>
  <c r="BW10" i="52"/>
  <c r="BY10" i="52"/>
  <c r="CA10" i="52"/>
  <c r="CC10" i="52"/>
  <c r="CE10" i="52"/>
  <c r="CG10" i="52"/>
  <c r="CI10" i="52"/>
  <c r="CK10" i="52"/>
  <c r="CM10" i="52"/>
  <c r="CO10" i="52"/>
  <c r="CQ10" i="52"/>
  <c r="CS10" i="52"/>
  <c r="BE11" i="52"/>
  <c r="BG11" i="52"/>
  <c r="BI11" i="52"/>
  <c r="BK11" i="52"/>
  <c r="BM11" i="52"/>
  <c r="BO11" i="52"/>
  <c r="BQ11" i="52"/>
  <c r="BS11" i="52"/>
  <c r="BU11" i="52"/>
  <c r="BW11" i="52"/>
  <c r="BY11" i="52"/>
  <c r="CA11" i="52"/>
  <c r="CC11" i="52"/>
  <c r="CE11" i="52"/>
  <c r="CG11" i="52"/>
  <c r="CI11" i="52"/>
  <c r="CK11" i="52"/>
  <c r="CM11" i="52"/>
  <c r="CO11" i="52"/>
  <c r="CQ11" i="52"/>
  <c r="CS11" i="52"/>
  <c r="BE12" i="52"/>
  <c r="BG12" i="52"/>
  <c r="BI12" i="52"/>
  <c r="BK12" i="52"/>
  <c r="BM12" i="52"/>
  <c r="BO12" i="52"/>
  <c r="BQ12" i="52"/>
  <c r="BS12" i="52"/>
  <c r="BU12" i="52"/>
  <c r="BW12" i="52"/>
  <c r="BY12" i="52"/>
  <c r="CA12" i="52"/>
  <c r="CC12" i="52"/>
  <c r="CE12" i="52"/>
  <c r="CG12" i="52"/>
  <c r="CI12" i="52"/>
  <c r="CK12" i="52"/>
  <c r="CM12" i="52"/>
  <c r="CO12" i="52"/>
  <c r="CQ12" i="52"/>
  <c r="CS12" i="52"/>
  <c r="BE13" i="52"/>
  <c r="BG13" i="52"/>
  <c r="BI13" i="52"/>
  <c r="BK13" i="52"/>
  <c r="BM13" i="52"/>
  <c r="BO13" i="52"/>
  <c r="BQ13" i="52"/>
  <c r="BS13" i="52"/>
  <c r="BU13" i="52"/>
  <c r="BW13" i="52"/>
  <c r="BY13" i="52"/>
  <c r="CA13" i="52"/>
  <c r="CC13" i="52"/>
  <c r="CE13" i="52"/>
  <c r="CG13" i="52"/>
  <c r="CI13" i="52"/>
  <c r="CK13" i="52"/>
  <c r="CM13" i="52"/>
  <c r="CO13" i="52"/>
  <c r="CQ13" i="52"/>
  <c r="CS13" i="52"/>
  <c r="BE14" i="52"/>
  <c r="BG14" i="52"/>
  <c r="BI14" i="52"/>
  <c r="BK14" i="52"/>
  <c r="BM14" i="52"/>
  <c r="BO14" i="52"/>
  <c r="BQ14" i="52"/>
  <c r="BS14" i="52"/>
  <c r="BU14" i="52"/>
  <c r="BW14" i="52"/>
  <c r="BY14" i="52"/>
  <c r="CA14" i="52"/>
  <c r="CC14" i="52"/>
  <c r="CE14" i="52"/>
  <c r="CG14" i="52"/>
  <c r="CI14" i="52"/>
  <c r="CK14" i="52"/>
  <c r="CM14" i="52"/>
  <c r="CO14" i="52"/>
  <c r="CQ14" i="52"/>
  <c r="CS14" i="52"/>
  <c r="BE15" i="52"/>
  <c r="BG15" i="52"/>
  <c r="BI15" i="52"/>
  <c r="BK15" i="52"/>
  <c r="BM15" i="52"/>
  <c r="BO15" i="52"/>
  <c r="BQ15" i="52"/>
  <c r="BS15" i="52"/>
  <c r="BU15" i="52"/>
  <c r="BW15" i="52"/>
  <c r="BY15" i="52"/>
  <c r="CA15" i="52"/>
  <c r="CC15" i="52"/>
  <c r="CE15" i="52"/>
  <c r="CG15" i="52"/>
  <c r="CI15" i="52"/>
  <c r="CK15" i="52"/>
  <c r="CM15" i="52"/>
  <c r="CO15" i="52"/>
  <c r="CQ15" i="52"/>
  <c r="CS15" i="52"/>
  <c r="BE16" i="52"/>
  <c r="BG16" i="52"/>
  <c r="BI16" i="52"/>
  <c r="BK16" i="52"/>
  <c r="BM16" i="52"/>
  <c r="BO16" i="52"/>
  <c r="BQ16" i="52"/>
  <c r="BS16" i="52"/>
  <c r="BU16" i="52"/>
  <c r="BW16" i="52"/>
  <c r="BY16" i="52"/>
  <c r="CA16" i="52"/>
  <c r="CC16" i="52"/>
  <c r="CE16" i="52"/>
  <c r="CG16" i="52"/>
  <c r="CI16" i="52"/>
  <c r="CK16" i="52"/>
  <c r="CM16" i="52"/>
  <c r="CO16" i="52"/>
  <c r="CQ16" i="52"/>
  <c r="CS16" i="52"/>
  <c r="BE17" i="52"/>
  <c r="BG17" i="52"/>
  <c r="BI17" i="52"/>
  <c r="BK17" i="52"/>
  <c r="BM17" i="52"/>
  <c r="BO17" i="52"/>
  <c r="BQ17" i="52"/>
  <c r="BS17" i="52"/>
  <c r="BU17" i="52"/>
  <c r="BW17" i="52"/>
  <c r="BY17" i="52"/>
  <c r="CA17" i="52"/>
  <c r="CC17" i="52"/>
  <c r="CE17" i="52"/>
  <c r="CG17" i="52"/>
  <c r="CI17" i="52"/>
  <c r="CK17" i="52"/>
  <c r="CM17" i="52"/>
  <c r="CO17" i="52"/>
  <c r="CQ17" i="52"/>
  <c r="CS17" i="52"/>
  <c r="BE18" i="52"/>
  <c r="BG18" i="52"/>
  <c r="BI18" i="52"/>
  <c r="BK18" i="52"/>
  <c r="BM18" i="52"/>
  <c r="BO18" i="52"/>
  <c r="BQ18" i="52"/>
  <c r="BS18" i="52"/>
  <c r="BU18" i="52"/>
  <c r="BW18" i="52"/>
  <c r="BY18" i="52"/>
  <c r="CA18" i="52"/>
  <c r="CC18" i="52"/>
  <c r="CE18" i="52"/>
  <c r="CG18" i="52"/>
  <c r="CI18" i="52"/>
  <c r="CK18" i="52"/>
  <c r="CM18" i="52"/>
  <c r="CO18" i="52"/>
  <c r="CQ18" i="52"/>
  <c r="CS18" i="52"/>
  <c r="BE19" i="52"/>
  <c r="BG19" i="52"/>
  <c r="BI19" i="52"/>
  <c r="BK19" i="52"/>
  <c r="BM19" i="52"/>
  <c r="BO19" i="52"/>
  <c r="BQ19" i="52"/>
  <c r="BS19" i="52"/>
  <c r="BU19" i="52"/>
  <c r="BW19" i="52"/>
  <c r="BY19" i="52"/>
  <c r="CA19" i="52"/>
  <c r="CC19" i="52"/>
  <c r="CE19" i="52"/>
  <c r="CG19" i="52"/>
  <c r="CI19" i="52"/>
  <c r="CK19" i="52"/>
  <c r="CM19" i="52"/>
  <c r="CO19" i="52"/>
  <c r="CQ19" i="52"/>
  <c r="CS19" i="52"/>
  <c r="BE20" i="52"/>
  <c r="BG20" i="52"/>
  <c r="BI20" i="52"/>
  <c r="BK20" i="52"/>
  <c r="BM20" i="52"/>
  <c r="BO20" i="52"/>
  <c r="BQ20" i="52"/>
  <c r="BS20" i="52"/>
  <c r="BU20" i="52"/>
  <c r="BW20" i="52"/>
  <c r="BY20" i="52"/>
  <c r="CA20" i="52"/>
  <c r="CC20" i="52"/>
  <c r="CE20" i="52"/>
  <c r="CG20" i="52"/>
  <c r="CI20" i="52"/>
  <c r="CK20" i="52"/>
  <c r="CM20" i="52"/>
  <c r="CO20" i="52"/>
  <c r="CQ20" i="52"/>
  <c r="CS20" i="52"/>
  <c r="BE21" i="52"/>
  <c r="BG21" i="52"/>
  <c r="BI21" i="52"/>
  <c r="BK21" i="52"/>
  <c r="BM21" i="52"/>
  <c r="BO21" i="52"/>
  <c r="BQ21" i="52"/>
  <c r="BS21" i="52"/>
  <c r="BU21" i="52"/>
  <c r="BW21" i="52"/>
  <c r="BY21" i="52"/>
  <c r="CA21" i="52"/>
  <c r="CC21" i="52"/>
  <c r="CE21" i="52"/>
  <c r="CG21" i="52"/>
  <c r="CI21" i="52"/>
  <c r="CK21" i="52"/>
  <c r="CM21" i="52"/>
  <c r="CO21" i="52"/>
  <c r="CQ21" i="52"/>
  <c r="CS21" i="52"/>
  <c r="BE22" i="52"/>
  <c r="BG22" i="52"/>
  <c r="BI22" i="52"/>
  <c r="BK22" i="52"/>
  <c r="BM22" i="52"/>
  <c r="BO22" i="52"/>
  <c r="BQ22" i="52"/>
  <c r="BS22" i="52"/>
  <c r="BU22" i="52"/>
  <c r="BW22" i="52"/>
  <c r="BY22" i="52"/>
  <c r="CA22" i="52"/>
  <c r="CC22" i="52"/>
  <c r="CE22" i="52"/>
  <c r="CG22" i="52"/>
  <c r="CI22" i="52"/>
  <c r="CK22" i="52"/>
  <c r="CM22" i="52"/>
  <c r="CO22" i="52"/>
  <c r="CQ22" i="52"/>
  <c r="CS22" i="52"/>
  <c r="BE23" i="52"/>
  <c r="BG23" i="52"/>
  <c r="BI23" i="52"/>
  <c r="BK23" i="52"/>
  <c r="BM23" i="52"/>
  <c r="BO23" i="52"/>
  <c r="BQ23" i="52"/>
  <c r="BS23" i="52"/>
  <c r="BU23" i="52"/>
  <c r="BW23" i="52"/>
  <c r="BY23" i="52"/>
  <c r="CA23" i="52"/>
  <c r="CC23" i="52"/>
  <c r="CE23" i="52"/>
  <c r="CG23" i="52"/>
  <c r="CI23" i="52"/>
  <c r="CK23" i="52"/>
  <c r="CM23" i="52"/>
  <c r="CO23" i="52"/>
  <c r="CQ23" i="52"/>
  <c r="CS23" i="52"/>
  <c r="BE24" i="52"/>
  <c r="BG24" i="52"/>
  <c r="BI24" i="52"/>
  <c r="BK24" i="52"/>
  <c r="BM24" i="52"/>
  <c r="BO24" i="52"/>
  <c r="BQ24" i="52"/>
  <c r="BS24" i="52"/>
  <c r="BU24" i="52"/>
  <c r="BW24" i="52"/>
  <c r="BY24" i="52"/>
  <c r="CA24" i="52"/>
  <c r="CC24" i="52"/>
  <c r="CE24" i="52"/>
  <c r="CG24" i="52"/>
  <c r="CI24" i="52"/>
  <c r="CK24" i="52"/>
  <c r="CM24" i="52"/>
  <c r="CO24" i="52"/>
  <c r="CQ24" i="52"/>
  <c r="CS24" i="52"/>
  <c r="BC28" i="52"/>
  <c r="BE28" i="52"/>
  <c r="BG28" i="52"/>
  <c r="BI28" i="52"/>
  <c r="BK28" i="52"/>
  <c r="BM28" i="52"/>
  <c r="BO28" i="52"/>
  <c r="BQ28" i="52"/>
  <c r="BS28" i="52"/>
  <c r="BU28" i="52"/>
  <c r="BW28" i="52"/>
  <c r="BY28" i="52"/>
  <c r="CA28" i="52"/>
  <c r="CC28" i="52"/>
  <c r="CE28" i="52"/>
  <c r="CG28" i="52"/>
  <c r="CI28" i="52"/>
  <c r="CK28" i="52"/>
  <c r="CM28" i="52"/>
  <c r="CO28" i="52"/>
  <c r="CQ28" i="52"/>
  <c r="CS28" i="52"/>
  <c r="BC29" i="52"/>
  <c r="BE29" i="52"/>
  <c r="BG29" i="52"/>
  <c r="BI29" i="52"/>
  <c r="BK29" i="52"/>
  <c r="BM29" i="52"/>
  <c r="BO29" i="52"/>
  <c r="BQ29" i="52"/>
  <c r="BS29" i="52"/>
  <c r="BU29" i="52"/>
  <c r="BW29" i="52"/>
  <c r="BY29" i="52"/>
  <c r="CA29" i="52"/>
  <c r="CC29" i="52"/>
  <c r="CE29" i="52"/>
  <c r="CG29" i="52"/>
  <c r="CI29" i="52"/>
  <c r="CK29" i="52"/>
  <c r="CM29" i="52"/>
  <c r="CO29" i="52"/>
  <c r="CQ29" i="52"/>
  <c r="CS29" i="52"/>
  <c r="BC30" i="52"/>
  <c r="BE30" i="52"/>
  <c r="BG30" i="52"/>
  <c r="BI30" i="52"/>
  <c r="BK30" i="52"/>
  <c r="BM30" i="52"/>
  <c r="BO30" i="52"/>
  <c r="BQ30" i="52"/>
  <c r="BS30" i="52"/>
  <c r="BU30" i="52"/>
  <c r="BW30" i="52"/>
  <c r="BY30" i="52"/>
  <c r="CA30" i="52"/>
  <c r="CC30" i="52"/>
  <c r="CE30" i="52"/>
  <c r="CG30" i="52"/>
  <c r="CI30" i="52"/>
  <c r="CK30" i="52"/>
  <c r="CM30" i="52"/>
  <c r="CO30" i="52"/>
  <c r="CQ30" i="52"/>
  <c r="CS30" i="52"/>
  <c r="D31" i="52"/>
  <c r="AM31" i="52"/>
  <c r="BC31" i="52"/>
  <c r="BE31" i="52"/>
  <c r="BG31" i="52"/>
  <c r="BI31" i="52"/>
  <c r="BK31" i="52"/>
  <c r="BM31" i="52"/>
  <c r="BO31" i="52"/>
  <c r="BQ31" i="52"/>
  <c r="BS31" i="52"/>
  <c r="BU31" i="52"/>
  <c r="BW31" i="52"/>
  <c r="BY31" i="52"/>
  <c r="CA31" i="52"/>
  <c r="CC31" i="52"/>
  <c r="CE31" i="52"/>
  <c r="CG31" i="52"/>
  <c r="CI31" i="52"/>
  <c r="CK31" i="52"/>
  <c r="CM31" i="52"/>
  <c r="CO31" i="52"/>
  <c r="CQ31" i="52"/>
  <c r="CS31" i="52"/>
  <c r="D33" i="52"/>
  <c r="Z33" i="52"/>
  <c r="AM33" i="52"/>
  <c r="BC33" i="52"/>
  <c r="BE33" i="52"/>
  <c r="BG33" i="52"/>
  <c r="BI33" i="52"/>
  <c r="BK33" i="52"/>
  <c r="BM33" i="52"/>
  <c r="BO33" i="52"/>
  <c r="BQ33" i="52"/>
  <c r="BS33" i="52"/>
  <c r="BU33" i="52"/>
  <c r="BW33" i="52"/>
  <c r="BY33" i="52"/>
  <c r="CA33" i="52"/>
  <c r="CC33" i="52"/>
  <c r="CE33" i="52"/>
  <c r="CG33" i="52"/>
  <c r="CI33" i="52"/>
  <c r="CK33" i="52"/>
  <c r="CM33" i="52"/>
  <c r="CO33" i="52"/>
  <c r="CQ33" i="52"/>
  <c r="CS33" i="52"/>
  <c r="D35" i="52"/>
  <c r="AM35" i="52"/>
  <c r="BC35" i="52"/>
  <c r="BE35" i="52"/>
  <c r="BG35" i="52"/>
  <c r="BI35" i="52"/>
  <c r="BK35" i="52"/>
  <c r="BM35" i="52"/>
  <c r="BO35" i="52"/>
  <c r="BQ35" i="52"/>
  <c r="BS35" i="52"/>
  <c r="BU35" i="52"/>
  <c r="BW35" i="52"/>
  <c r="BY35" i="52"/>
  <c r="CA35" i="52"/>
  <c r="CC35" i="52"/>
  <c r="CE35" i="52"/>
  <c r="CG35" i="52"/>
  <c r="CI35" i="52"/>
  <c r="CK35" i="52"/>
  <c r="CM35" i="52"/>
  <c r="CO35" i="52"/>
  <c r="CQ35" i="52"/>
  <c r="CS35" i="52"/>
  <c r="D37" i="52"/>
  <c r="AM37" i="52"/>
  <c r="BC37" i="52"/>
  <c r="BE37" i="52"/>
  <c r="BG37" i="52"/>
  <c r="BI37" i="52"/>
  <c r="BK37" i="52"/>
  <c r="BM37" i="52"/>
  <c r="BO37" i="52"/>
  <c r="BQ37" i="52"/>
  <c r="BS37" i="52"/>
  <c r="BU37" i="52"/>
  <c r="BW37" i="52"/>
  <c r="BY37" i="52"/>
  <c r="CA37" i="52"/>
  <c r="CC37" i="52"/>
  <c r="CE37" i="52"/>
  <c r="CG37" i="52"/>
  <c r="CI37" i="52"/>
  <c r="CK37" i="52"/>
  <c r="CM37" i="52"/>
  <c r="CO37" i="52"/>
  <c r="CQ37" i="52"/>
  <c r="CS37" i="52"/>
  <c r="D39" i="52"/>
  <c r="BC39" i="52"/>
  <c r="BE39" i="52"/>
  <c r="BG39" i="52"/>
  <c r="BI39" i="52"/>
  <c r="BK39" i="52"/>
  <c r="BM39" i="52"/>
  <c r="BO39" i="52"/>
  <c r="BQ39" i="52"/>
  <c r="BS39" i="52"/>
  <c r="BU39" i="52"/>
  <c r="BW39" i="52"/>
  <c r="BY39" i="52"/>
  <c r="CA39" i="52"/>
  <c r="CC39" i="52"/>
  <c r="CE39" i="52"/>
  <c r="CG39" i="52"/>
  <c r="CI39" i="52"/>
  <c r="CK39" i="52"/>
  <c r="BC41" i="52"/>
  <c r="BE41" i="52"/>
  <c r="BG41" i="52"/>
  <c r="BI41" i="52"/>
  <c r="BK41" i="52"/>
  <c r="BM41" i="52"/>
  <c r="BO41" i="52"/>
  <c r="BQ41" i="52"/>
  <c r="BS41" i="52"/>
  <c r="BU41" i="52"/>
  <c r="BW41" i="52"/>
  <c r="BY41" i="52"/>
  <c r="CA41" i="52"/>
  <c r="CC41" i="52"/>
  <c r="CE41" i="52"/>
  <c r="CG41" i="52"/>
  <c r="CI41" i="52"/>
  <c r="CK41" i="52"/>
  <c r="CM41" i="52"/>
  <c r="CO41" i="52"/>
  <c r="CQ41" i="52"/>
  <c r="CS41" i="52"/>
  <c r="BC43" i="52"/>
  <c r="BE43" i="52"/>
  <c r="BG43" i="52"/>
  <c r="BI43" i="52"/>
  <c r="BK43" i="52"/>
  <c r="BM43" i="52"/>
  <c r="BO43" i="52"/>
  <c r="BQ43" i="52"/>
  <c r="BS43" i="52"/>
  <c r="BU43" i="52"/>
  <c r="BW43" i="52"/>
  <c r="BY43" i="52"/>
  <c r="CA43" i="52"/>
  <c r="CC43" i="52"/>
  <c r="CE43" i="52"/>
  <c r="CG43" i="52"/>
  <c r="CI43" i="52"/>
  <c r="CK43" i="52"/>
  <c r="CM43" i="52"/>
  <c r="CO43" i="52"/>
  <c r="CQ43" i="52"/>
  <c r="CS43" i="52"/>
  <c r="BC44" i="52"/>
  <c r="BE44" i="52"/>
  <c r="BG44" i="52"/>
  <c r="BI44" i="52"/>
  <c r="BK44" i="52"/>
  <c r="BM44" i="52"/>
  <c r="BO44" i="52"/>
  <c r="BQ44" i="52"/>
  <c r="BS44" i="52"/>
  <c r="BU44" i="52"/>
  <c r="BW44" i="52"/>
  <c r="BY44" i="52"/>
  <c r="CA44" i="52"/>
  <c r="CC44" i="52"/>
  <c r="CE44" i="52"/>
  <c r="CG44" i="52"/>
  <c r="CI44" i="52"/>
  <c r="CK44" i="52"/>
  <c r="CM44" i="52"/>
  <c r="CO44" i="52"/>
  <c r="CQ44" i="52"/>
  <c r="CS44" i="52"/>
  <c r="D50" i="50"/>
  <c r="AQ48" i="50"/>
  <c r="AH48" i="50"/>
  <c r="D48" i="50"/>
  <c r="CS46" i="50"/>
  <c r="CQ46" i="50"/>
  <c r="CO46" i="50"/>
  <c r="CM46" i="50"/>
  <c r="CK46" i="50"/>
  <c r="CI46" i="50"/>
  <c r="CG46" i="50"/>
  <c r="CE46" i="50"/>
  <c r="CC46" i="50"/>
  <c r="CA46" i="50"/>
  <c r="BY46" i="50"/>
  <c r="BW46" i="50"/>
  <c r="BU46" i="50"/>
  <c r="BS46" i="50"/>
  <c r="BQ46" i="50"/>
  <c r="BO46" i="50"/>
  <c r="BM46" i="50"/>
  <c r="BK46" i="50"/>
  <c r="BI46" i="50"/>
  <c r="BG46" i="50"/>
  <c r="BE46" i="50"/>
  <c r="BC46" i="50"/>
  <c r="AQ46" i="50"/>
  <c r="Z46" i="50"/>
  <c r="D46" i="50"/>
  <c r="CS45" i="50"/>
  <c r="CQ45" i="50"/>
  <c r="CO45" i="50"/>
  <c r="CM45" i="50"/>
  <c r="CK45" i="50"/>
  <c r="CI45" i="50"/>
  <c r="CG45" i="50"/>
  <c r="CE45" i="50"/>
  <c r="CC45" i="50"/>
  <c r="CA45" i="50"/>
  <c r="BY45" i="50"/>
  <c r="BW45" i="50"/>
  <c r="BU45" i="50"/>
  <c r="BS45" i="50"/>
  <c r="BQ45" i="50"/>
  <c r="BO45" i="50"/>
  <c r="BM45" i="50"/>
  <c r="BK45" i="50"/>
  <c r="BI45" i="50"/>
  <c r="BG45" i="50"/>
  <c r="BE45" i="50"/>
  <c r="BC45" i="50"/>
  <c r="CS44" i="50"/>
  <c r="CQ44" i="50"/>
  <c r="CO44" i="50"/>
  <c r="CM44" i="50"/>
  <c r="CK44" i="50"/>
  <c r="CI44" i="50"/>
  <c r="CG44" i="50"/>
  <c r="CE44" i="50"/>
  <c r="CC44" i="50"/>
  <c r="CA44" i="50"/>
  <c r="BY44" i="50"/>
  <c r="BW44" i="50"/>
  <c r="BU44" i="50"/>
  <c r="BS44" i="50"/>
  <c r="BQ44" i="50"/>
  <c r="BO44" i="50"/>
  <c r="BM44" i="50"/>
  <c r="BK44" i="50"/>
  <c r="BI44" i="50"/>
  <c r="BG44" i="50"/>
  <c r="BE44" i="50"/>
  <c r="BC44" i="50"/>
  <c r="AQ44" i="50"/>
  <c r="Z44" i="50"/>
  <c r="D44" i="50"/>
  <c r="CS43" i="50"/>
  <c r="CQ43" i="50"/>
  <c r="CO43" i="50"/>
  <c r="CM43" i="50"/>
  <c r="CK43" i="50"/>
  <c r="CI43" i="50"/>
  <c r="CG43" i="50"/>
  <c r="CE43" i="50"/>
  <c r="CC43" i="50"/>
  <c r="CA43" i="50"/>
  <c r="BY43" i="50"/>
  <c r="BW43" i="50"/>
  <c r="BU43" i="50"/>
  <c r="BS43" i="50"/>
  <c r="BQ43" i="50"/>
  <c r="BO43" i="50"/>
  <c r="BM43" i="50"/>
  <c r="BK43" i="50"/>
  <c r="BI43" i="50"/>
  <c r="BG43" i="50"/>
  <c r="BE43" i="50"/>
  <c r="BC43" i="50"/>
  <c r="CS42" i="50"/>
  <c r="CQ42" i="50"/>
  <c r="CO42" i="50"/>
  <c r="CM42" i="50"/>
  <c r="CK42" i="50"/>
  <c r="CI42" i="50"/>
  <c r="CG42" i="50"/>
  <c r="CE42" i="50"/>
  <c r="CC42" i="50"/>
  <c r="CA42" i="50"/>
  <c r="BY42" i="50"/>
  <c r="BW42" i="50"/>
  <c r="BU42" i="50"/>
  <c r="BS42" i="50"/>
  <c r="BQ42" i="50"/>
  <c r="BO42" i="50"/>
  <c r="BM42" i="50"/>
  <c r="BK42" i="50"/>
  <c r="BI42" i="50"/>
  <c r="BG42" i="50"/>
  <c r="BE42" i="50"/>
  <c r="BC42" i="50"/>
  <c r="D42" i="50"/>
  <c r="CS41" i="50"/>
  <c r="CQ41" i="50"/>
  <c r="CO41" i="50"/>
  <c r="CM41" i="50"/>
  <c r="CK41" i="50"/>
  <c r="CI41" i="50"/>
  <c r="CG41" i="50"/>
  <c r="CE41" i="50"/>
  <c r="CC41" i="50"/>
  <c r="CA41" i="50"/>
  <c r="BY41" i="50"/>
  <c r="BW41" i="50"/>
  <c r="BU41" i="50"/>
  <c r="BS41" i="50"/>
  <c r="BQ41" i="50"/>
  <c r="BO41" i="50"/>
  <c r="BM41" i="50"/>
  <c r="BK41" i="50"/>
  <c r="BI41" i="50"/>
  <c r="BG41" i="50"/>
  <c r="BE41" i="50"/>
  <c r="BC41" i="50"/>
  <c r="AQ41" i="50"/>
  <c r="CS40" i="50"/>
  <c r="CQ40" i="50"/>
  <c r="CO40" i="50"/>
  <c r="CM40" i="50"/>
  <c r="CK40" i="50"/>
  <c r="CI40" i="50"/>
  <c r="CG40" i="50"/>
  <c r="CE40" i="50"/>
  <c r="CC40" i="50"/>
  <c r="CA40" i="50"/>
  <c r="BY40" i="50"/>
  <c r="BW40" i="50"/>
  <c r="BU40" i="50"/>
  <c r="BS40" i="50"/>
  <c r="BQ40" i="50"/>
  <c r="BO40" i="50"/>
  <c r="BM40" i="50"/>
  <c r="BK40" i="50"/>
  <c r="BI40" i="50"/>
  <c r="BG40" i="50"/>
  <c r="BE40" i="50"/>
  <c r="BC40" i="50"/>
  <c r="AK40" i="50"/>
  <c r="AE40" i="50"/>
  <c r="Z40" i="50"/>
  <c r="D40" i="50"/>
  <c r="CS39" i="50"/>
  <c r="CQ39" i="50"/>
  <c r="CO39" i="50"/>
  <c r="CM39" i="50"/>
  <c r="CK39" i="50"/>
  <c r="CI39" i="50"/>
  <c r="CG39" i="50"/>
  <c r="CE39" i="50"/>
  <c r="CC39" i="50"/>
  <c r="CA39" i="50"/>
  <c r="BY39" i="50"/>
  <c r="BW39" i="50"/>
  <c r="BU39" i="50"/>
  <c r="BS39" i="50"/>
  <c r="BQ39" i="50"/>
  <c r="BO39" i="50"/>
  <c r="BM39" i="50"/>
  <c r="BK39" i="50"/>
  <c r="BI39" i="50"/>
  <c r="BG39" i="50"/>
  <c r="BE39" i="50"/>
  <c r="BC39" i="50"/>
  <c r="AQ39" i="50"/>
  <c r="D39" i="50"/>
  <c r="CS38" i="50"/>
  <c r="CQ38" i="50"/>
  <c r="CO38" i="50"/>
  <c r="CM38" i="50"/>
  <c r="CK38" i="50"/>
  <c r="CI38" i="50"/>
  <c r="CG38" i="50"/>
  <c r="CE38" i="50"/>
  <c r="CC38" i="50"/>
  <c r="CA38" i="50"/>
  <c r="BY38" i="50"/>
  <c r="BW38" i="50"/>
  <c r="BU38" i="50"/>
  <c r="BS38" i="50"/>
  <c r="BQ38" i="50"/>
  <c r="BO38" i="50"/>
  <c r="BM38" i="50"/>
  <c r="BK38" i="50"/>
  <c r="BI38" i="50"/>
  <c r="BG38" i="50"/>
  <c r="BE38" i="50"/>
  <c r="BC38" i="50"/>
  <c r="E38" i="50"/>
  <c r="CS37" i="50"/>
  <c r="CQ37" i="50"/>
  <c r="CO37" i="50"/>
  <c r="CM37" i="50"/>
  <c r="CK37" i="50"/>
  <c r="BM37" i="50"/>
  <c r="BK37" i="50"/>
  <c r="BI37" i="50"/>
  <c r="BG37" i="50"/>
  <c r="BE37" i="50"/>
  <c r="BC37" i="50"/>
  <c r="CS36" i="50"/>
  <c r="CQ36" i="50"/>
  <c r="CO36" i="50"/>
  <c r="CM36" i="50"/>
  <c r="CK36" i="50"/>
  <c r="CI36" i="50"/>
  <c r="CG36" i="50"/>
  <c r="CE36" i="50"/>
  <c r="CC36" i="50"/>
  <c r="CA36" i="50"/>
  <c r="BY36" i="50"/>
  <c r="BW36" i="50"/>
  <c r="BU36" i="50"/>
  <c r="BS36" i="50"/>
  <c r="BQ36" i="50"/>
  <c r="BO36" i="50"/>
  <c r="BM36" i="50"/>
  <c r="BK36" i="50"/>
  <c r="BI36" i="50"/>
  <c r="BG36" i="50"/>
  <c r="BE36" i="50"/>
  <c r="BC36" i="50"/>
  <c r="CS35" i="50"/>
  <c r="CQ35" i="50"/>
  <c r="CO35" i="50"/>
  <c r="CM35" i="50"/>
  <c r="CK35" i="50"/>
  <c r="CI35" i="50"/>
  <c r="CI37" i="50"/>
  <c r="CG35" i="50"/>
  <c r="CG37" i="50"/>
  <c r="CE35" i="50"/>
  <c r="CE37" i="50"/>
  <c r="CC35" i="50"/>
  <c r="CC37" i="50"/>
  <c r="CA35" i="50"/>
  <c r="CA37" i="50"/>
  <c r="BY35" i="50"/>
  <c r="BY37" i="50"/>
  <c r="BW35" i="50"/>
  <c r="BW37" i="50"/>
  <c r="BU35" i="50"/>
  <c r="BU37" i="50"/>
  <c r="BS35" i="50"/>
  <c r="BS37" i="50"/>
  <c r="BQ35" i="50"/>
  <c r="BQ37" i="50"/>
  <c r="BO35" i="50"/>
  <c r="BO37" i="50"/>
  <c r="BM35" i="50"/>
  <c r="BK35" i="50"/>
  <c r="BI35" i="50"/>
  <c r="BG35" i="50"/>
  <c r="BE35" i="50"/>
  <c r="BC35" i="50"/>
  <c r="CS31" i="50"/>
  <c r="CQ31" i="50"/>
  <c r="CO31" i="50"/>
  <c r="CM31" i="50"/>
  <c r="CK31" i="50"/>
  <c r="CI31" i="50"/>
  <c r="CG31" i="50"/>
  <c r="CE31" i="50"/>
  <c r="CC31" i="50"/>
  <c r="CA31" i="50"/>
  <c r="BY31" i="50"/>
  <c r="BW31" i="50"/>
  <c r="BU31" i="50"/>
  <c r="BS31" i="50"/>
  <c r="BQ31" i="50"/>
  <c r="BO31" i="50"/>
  <c r="BM31" i="50"/>
  <c r="BK31" i="50"/>
  <c r="BI31" i="50"/>
  <c r="BG31" i="50"/>
  <c r="BE31" i="50"/>
  <c r="CS30" i="50"/>
  <c r="CQ30" i="50"/>
  <c r="CO30" i="50"/>
  <c r="CM30" i="50"/>
  <c r="CK30" i="50"/>
  <c r="CI30" i="50"/>
  <c r="CG30" i="50"/>
  <c r="CE30" i="50"/>
  <c r="CC30" i="50"/>
  <c r="CA30" i="50"/>
  <c r="BY30" i="50"/>
  <c r="BW30" i="50"/>
  <c r="BU30" i="50"/>
  <c r="BS30" i="50"/>
  <c r="BQ30" i="50"/>
  <c r="BO30" i="50"/>
  <c r="BM30" i="50"/>
  <c r="BK30" i="50"/>
  <c r="BI30" i="50"/>
  <c r="BG30" i="50"/>
  <c r="BE30" i="50"/>
  <c r="CS29" i="50"/>
  <c r="CQ29" i="50"/>
  <c r="CO29" i="50"/>
  <c r="CM29" i="50"/>
  <c r="CK29" i="50"/>
  <c r="CI29" i="50"/>
  <c r="CG29" i="50"/>
  <c r="CE29" i="50"/>
  <c r="CC29" i="50"/>
  <c r="CA29" i="50"/>
  <c r="BY29" i="50"/>
  <c r="BW29" i="50"/>
  <c r="BU29" i="50"/>
  <c r="BS29" i="50"/>
  <c r="BQ29" i="50"/>
  <c r="BO29" i="50"/>
  <c r="BM29" i="50"/>
  <c r="BK29" i="50"/>
  <c r="BI29" i="50"/>
  <c r="BG29" i="50"/>
  <c r="BE29" i="50"/>
  <c r="CS28" i="50"/>
  <c r="CQ28" i="50"/>
  <c r="CO28" i="50"/>
  <c r="CM28" i="50"/>
  <c r="CK28" i="50"/>
  <c r="CI28" i="50"/>
  <c r="CG28" i="50"/>
  <c r="CE28" i="50"/>
  <c r="CC28" i="50"/>
  <c r="CA28" i="50"/>
  <c r="BY28" i="50"/>
  <c r="BW28" i="50"/>
  <c r="BU28" i="50"/>
  <c r="BS28" i="50"/>
  <c r="BQ28" i="50"/>
  <c r="BO28" i="50"/>
  <c r="BM28" i="50"/>
  <c r="BK28" i="50"/>
  <c r="BI28" i="50"/>
  <c r="BG28" i="50"/>
  <c r="BE28" i="50"/>
  <c r="CS27" i="50"/>
  <c r="CQ27" i="50"/>
  <c r="CO27" i="50"/>
  <c r="CM27" i="50"/>
  <c r="CK27" i="50"/>
  <c r="CI27" i="50"/>
  <c r="CG27" i="50"/>
  <c r="CE27" i="50"/>
  <c r="CC27" i="50"/>
  <c r="CA27" i="50"/>
  <c r="BY27" i="50"/>
  <c r="BW27" i="50"/>
  <c r="BU27" i="50"/>
  <c r="BS27" i="50"/>
  <c r="BQ27" i="50"/>
  <c r="BO27" i="50"/>
  <c r="BM27" i="50"/>
  <c r="BK27" i="50"/>
  <c r="BI27" i="50"/>
  <c r="BG27" i="50"/>
  <c r="BE27" i="50"/>
  <c r="CS26" i="50"/>
  <c r="CQ26" i="50"/>
  <c r="CO26" i="50"/>
  <c r="CM26" i="50"/>
  <c r="CK26" i="50"/>
  <c r="CI26" i="50"/>
  <c r="CG26" i="50"/>
  <c r="CE26" i="50"/>
  <c r="CC26" i="50"/>
  <c r="CA26" i="50"/>
  <c r="BY26" i="50"/>
  <c r="BW26" i="50"/>
  <c r="BU26" i="50"/>
  <c r="BS26" i="50"/>
  <c r="BQ26" i="50"/>
  <c r="BO26" i="50"/>
  <c r="BM26" i="50"/>
  <c r="BK26" i="50"/>
  <c r="BI26" i="50"/>
  <c r="BG26" i="50"/>
  <c r="BE26" i="50"/>
  <c r="CS24" i="50"/>
  <c r="CQ24" i="50"/>
  <c r="CO24" i="50"/>
  <c r="CM24" i="50"/>
  <c r="CK24" i="50"/>
  <c r="CI24" i="50"/>
  <c r="CG24" i="50"/>
  <c r="CE24" i="50"/>
  <c r="CC24" i="50"/>
  <c r="CA24" i="50"/>
  <c r="BY24" i="50"/>
  <c r="BW24" i="50"/>
  <c r="BU24" i="50"/>
  <c r="BS24" i="50"/>
  <c r="BQ24" i="50"/>
  <c r="BO24" i="50"/>
  <c r="BM24" i="50"/>
  <c r="BK24" i="50"/>
  <c r="BI24" i="50"/>
  <c r="BG24" i="50"/>
  <c r="BE24" i="50"/>
  <c r="CS23" i="50"/>
  <c r="CQ23" i="50"/>
  <c r="CO23" i="50"/>
  <c r="CM23" i="50"/>
  <c r="CK23" i="50"/>
  <c r="CI23" i="50"/>
  <c r="CG23" i="50"/>
  <c r="CE23" i="50"/>
  <c r="CC23" i="50"/>
  <c r="CA23" i="50"/>
  <c r="BY23" i="50"/>
  <c r="BW23" i="50"/>
  <c r="BU23" i="50"/>
  <c r="BS23" i="50"/>
  <c r="BQ23" i="50"/>
  <c r="BO23" i="50"/>
  <c r="BM23" i="50"/>
  <c r="BK23" i="50"/>
  <c r="BI23" i="50"/>
  <c r="BG23" i="50"/>
  <c r="BE23" i="50"/>
  <c r="CS22" i="50"/>
  <c r="CQ22" i="50"/>
  <c r="CO22" i="50"/>
  <c r="CM22" i="50"/>
  <c r="CK22" i="50"/>
  <c r="CI22" i="50"/>
  <c r="CG22" i="50"/>
  <c r="CE22" i="50"/>
  <c r="CC22" i="50"/>
  <c r="CA22" i="50"/>
  <c r="BY22" i="50"/>
  <c r="BW22" i="50"/>
  <c r="BU22" i="50"/>
  <c r="BS22" i="50"/>
  <c r="BQ22" i="50"/>
  <c r="BO22" i="50"/>
  <c r="BM22" i="50"/>
  <c r="BK22" i="50"/>
  <c r="BI22" i="50"/>
  <c r="BG22" i="50"/>
  <c r="BE22" i="50"/>
  <c r="CS21" i="50"/>
  <c r="CQ21" i="50"/>
  <c r="CO21" i="50"/>
  <c r="CM21" i="50"/>
  <c r="CK21" i="50"/>
  <c r="CI21" i="50"/>
  <c r="CG21" i="50"/>
  <c r="CE21" i="50"/>
  <c r="CC21" i="50"/>
  <c r="CA21" i="50"/>
  <c r="BY21" i="50"/>
  <c r="BW21" i="50"/>
  <c r="BU21" i="50"/>
  <c r="BS21" i="50"/>
  <c r="BQ21" i="50"/>
  <c r="BO21" i="50"/>
  <c r="BM21" i="50"/>
  <c r="BK21" i="50"/>
  <c r="BI21" i="50"/>
  <c r="BG21" i="50"/>
  <c r="BE21" i="50"/>
  <c r="CS20" i="50"/>
  <c r="CQ20" i="50"/>
  <c r="CO20" i="50"/>
  <c r="CM20" i="50"/>
  <c r="CK20" i="50"/>
  <c r="CI20" i="50"/>
  <c r="CG20" i="50"/>
  <c r="CE20" i="50"/>
  <c r="CC20" i="50"/>
  <c r="CA20" i="50"/>
  <c r="BY20" i="50"/>
  <c r="BW20" i="50"/>
  <c r="BU20" i="50"/>
  <c r="BS20" i="50"/>
  <c r="BQ20" i="50"/>
  <c r="BO20" i="50"/>
  <c r="BM20" i="50"/>
  <c r="BK20" i="50"/>
  <c r="BI20" i="50"/>
  <c r="BG20" i="50"/>
  <c r="BE20" i="50"/>
  <c r="CS19" i="50"/>
  <c r="CQ19" i="50"/>
  <c r="CO19" i="50"/>
  <c r="CM19" i="50"/>
  <c r="CK19" i="50"/>
  <c r="CI19" i="50"/>
  <c r="CG19" i="50"/>
  <c r="CE19" i="50"/>
  <c r="CC19" i="50"/>
  <c r="CA19" i="50"/>
  <c r="BY19" i="50"/>
  <c r="BW19" i="50"/>
  <c r="BU19" i="50"/>
  <c r="BS19" i="50"/>
  <c r="BQ19" i="50"/>
  <c r="BO19" i="50"/>
  <c r="BM19" i="50"/>
  <c r="BK19" i="50"/>
  <c r="BI19" i="50"/>
  <c r="BG19" i="50"/>
  <c r="BE19" i="50"/>
  <c r="CS18" i="50"/>
  <c r="CQ18" i="50"/>
  <c r="CO18" i="50"/>
  <c r="CM18" i="50"/>
  <c r="CK18" i="50"/>
  <c r="CI18" i="50"/>
  <c r="CG18" i="50"/>
  <c r="CE18" i="50"/>
  <c r="CC18" i="50"/>
  <c r="CA18" i="50"/>
  <c r="BY18" i="50"/>
  <c r="BW18" i="50"/>
  <c r="BU18" i="50"/>
  <c r="BS18" i="50"/>
  <c r="BQ18" i="50"/>
  <c r="BO18" i="50"/>
  <c r="BM18" i="50"/>
  <c r="BK18" i="50"/>
  <c r="BI18" i="50"/>
  <c r="BG18" i="50"/>
  <c r="BE18" i="50"/>
  <c r="CS17" i="50"/>
  <c r="CQ17" i="50"/>
  <c r="CO17" i="50"/>
  <c r="CM17" i="50"/>
  <c r="CK17" i="50"/>
  <c r="CI17" i="50"/>
  <c r="CG17" i="50"/>
  <c r="CE17" i="50"/>
  <c r="CC17" i="50"/>
  <c r="CA17" i="50"/>
  <c r="BY17" i="50"/>
  <c r="BW17" i="50"/>
  <c r="BU17" i="50"/>
  <c r="BS17" i="50"/>
  <c r="BQ17" i="50"/>
  <c r="BO17" i="50"/>
  <c r="BM17" i="50"/>
  <c r="BK17" i="50"/>
  <c r="BI17" i="50"/>
  <c r="BG17" i="50"/>
  <c r="BE17" i="50"/>
  <c r="CS16" i="50"/>
  <c r="CQ16" i="50"/>
  <c r="CO16" i="50"/>
  <c r="CM16" i="50"/>
  <c r="CK16" i="50"/>
  <c r="CI16" i="50"/>
  <c r="CG16" i="50"/>
  <c r="CE16" i="50"/>
  <c r="CC16" i="50"/>
  <c r="CA16" i="50"/>
  <c r="BY16" i="50"/>
  <c r="BW16" i="50"/>
  <c r="BU16" i="50"/>
  <c r="BS16" i="50"/>
  <c r="BQ16" i="50"/>
  <c r="BO16" i="50"/>
  <c r="BM16" i="50"/>
  <c r="BK16" i="50"/>
  <c r="BI16" i="50"/>
  <c r="BG16" i="50"/>
  <c r="BE16" i="50"/>
  <c r="CS15" i="50"/>
  <c r="CQ15" i="50"/>
  <c r="CO15" i="50"/>
  <c r="CM15" i="50"/>
  <c r="CK15" i="50"/>
  <c r="CI15" i="50"/>
  <c r="CG15" i="50"/>
  <c r="CE15" i="50"/>
  <c r="CC15" i="50"/>
  <c r="CA15" i="50"/>
  <c r="BY15" i="50"/>
  <c r="BW15" i="50"/>
  <c r="BU15" i="50"/>
  <c r="BS15" i="50"/>
  <c r="BQ15" i="50"/>
  <c r="BO15" i="50"/>
  <c r="BM15" i="50"/>
  <c r="BK15" i="50"/>
  <c r="BI15" i="50"/>
  <c r="BG15" i="50"/>
  <c r="BE15" i="50"/>
  <c r="CS14" i="50"/>
  <c r="CQ14" i="50"/>
  <c r="CO14" i="50"/>
  <c r="CM14" i="50"/>
  <c r="CK14" i="50"/>
  <c r="CI14" i="50"/>
  <c r="CG14" i="50"/>
  <c r="CE14" i="50"/>
  <c r="CC14" i="50"/>
  <c r="CA14" i="50"/>
  <c r="BY14" i="50"/>
  <c r="BW14" i="50"/>
  <c r="BU14" i="50"/>
  <c r="BS14" i="50"/>
  <c r="BQ14" i="50"/>
  <c r="BO14" i="50"/>
  <c r="BM14" i="50"/>
  <c r="BK14" i="50"/>
  <c r="BI14" i="50"/>
  <c r="BG14" i="50"/>
  <c r="BE14" i="50"/>
  <c r="CS13" i="50"/>
  <c r="CQ13" i="50"/>
  <c r="CO13" i="50"/>
  <c r="CM13" i="50"/>
  <c r="CK13" i="50"/>
  <c r="CI13" i="50"/>
  <c r="CG13" i="50"/>
  <c r="CE13" i="50"/>
  <c r="CC13" i="50"/>
  <c r="CA13" i="50"/>
  <c r="BY13" i="50"/>
  <c r="BW13" i="50"/>
  <c r="BU13" i="50"/>
  <c r="BS13" i="50"/>
  <c r="BQ13" i="50"/>
  <c r="BO13" i="50"/>
  <c r="BM13" i="50"/>
  <c r="BK13" i="50"/>
  <c r="BI13" i="50"/>
  <c r="BG13" i="50"/>
  <c r="BE13" i="50"/>
  <c r="CS12" i="50"/>
  <c r="CQ12" i="50"/>
  <c r="CO12" i="50"/>
  <c r="CM12" i="50"/>
  <c r="CK12" i="50"/>
  <c r="CI12" i="50"/>
  <c r="CG12" i="50"/>
  <c r="CE12" i="50"/>
  <c r="CC12" i="50"/>
  <c r="CA12" i="50"/>
  <c r="BY12" i="50"/>
  <c r="BW12" i="50"/>
  <c r="BU12" i="50"/>
  <c r="BS12" i="50"/>
  <c r="BQ12" i="50"/>
  <c r="BO12" i="50"/>
  <c r="BM12" i="50"/>
  <c r="BK12" i="50"/>
  <c r="BI12" i="50"/>
  <c r="BG12" i="50"/>
  <c r="BE12" i="50"/>
  <c r="CS10" i="50"/>
  <c r="CQ10" i="50"/>
  <c r="CO10" i="50"/>
  <c r="CM10" i="50"/>
  <c r="CK10" i="50"/>
  <c r="CI10" i="50"/>
  <c r="CG10" i="50"/>
  <c r="CE10" i="50"/>
  <c r="CC10" i="50"/>
  <c r="CA10" i="50"/>
  <c r="BY10" i="50"/>
  <c r="BW10" i="50"/>
  <c r="BU10" i="50"/>
  <c r="BS10" i="50"/>
  <c r="BQ10" i="50"/>
  <c r="BO10" i="50"/>
  <c r="BM10" i="50"/>
  <c r="BK10" i="50"/>
  <c r="BI10" i="50"/>
  <c r="BG10" i="50"/>
  <c r="BE10" i="50"/>
  <c r="CS9" i="50"/>
  <c r="CQ9" i="50"/>
  <c r="CO9" i="50"/>
  <c r="CM9" i="50"/>
  <c r="CK9" i="50"/>
  <c r="CI9" i="50"/>
  <c r="CG9" i="50"/>
  <c r="CE9" i="50"/>
  <c r="CC9" i="50"/>
  <c r="CA9" i="50"/>
  <c r="BY9" i="50"/>
  <c r="BW9" i="50"/>
  <c r="BU9" i="50"/>
  <c r="BS9" i="50"/>
  <c r="BQ9" i="50"/>
  <c r="BO9" i="50"/>
  <c r="BM9" i="50"/>
  <c r="BK9" i="50"/>
  <c r="BI9" i="50"/>
  <c r="BG9" i="50"/>
  <c r="BE9" i="50"/>
  <c r="CS8" i="50"/>
  <c r="CQ8" i="50"/>
  <c r="CO8" i="50"/>
  <c r="CM8" i="50"/>
  <c r="CK8" i="50"/>
  <c r="CI8" i="50"/>
  <c r="CG8" i="50"/>
  <c r="CE8" i="50"/>
  <c r="CC8" i="50"/>
  <c r="CA8" i="50"/>
  <c r="BY8" i="50"/>
  <c r="BW8" i="50"/>
  <c r="BU8" i="50"/>
  <c r="BS8" i="50"/>
  <c r="BQ8" i="50"/>
  <c r="BO8" i="50"/>
  <c r="BM8" i="50"/>
  <c r="BK8" i="50"/>
  <c r="BI8" i="50"/>
  <c r="BG8" i="50"/>
  <c r="BE8" i="50"/>
  <c r="BE37" i="49"/>
  <c r="BE36" i="49"/>
  <c r="BE38" i="49"/>
  <c r="BE34" i="49"/>
  <c r="BE33" i="49"/>
  <c r="BE35" i="49"/>
  <c r="BE31" i="49"/>
  <c r="AT31" i="49"/>
  <c r="AK30" i="49"/>
  <c r="AB30" i="49"/>
  <c r="AT29" i="49"/>
  <c r="BE28" i="49"/>
  <c r="AD28" i="49"/>
  <c r="BE27" i="49"/>
  <c r="BE29" i="49"/>
  <c r="CU26" i="49"/>
  <c r="CS26" i="49"/>
  <c r="CQ26" i="49"/>
  <c r="CO26" i="49"/>
  <c r="CM26" i="49"/>
  <c r="CK26" i="49"/>
  <c r="CI26" i="49"/>
  <c r="CG26" i="49"/>
  <c r="CE26" i="49"/>
  <c r="CC26" i="49"/>
  <c r="CA26" i="49"/>
  <c r="BY26" i="49"/>
  <c r="BW26" i="49"/>
  <c r="BU26" i="49"/>
  <c r="BS26" i="49"/>
  <c r="BQ26" i="49"/>
  <c r="BM26" i="49"/>
  <c r="BK26" i="49"/>
  <c r="BI26" i="49"/>
  <c r="BG26" i="49"/>
  <c r="BF26" i="49"/>
  <c r="AJ26" i="49"/>
  <c r="AB26" i="49"/>
  <c r="CU25" i="49"/>
  <c r="CS25" i="49"/>
  <c r="CQ25" i="49"/>
  <c r="CO25" i="49"/>
  <c r="CM25" i="49"/>
  <c r="CK25" i="49"/>
  <c r="CI25" i="49"/>
  <c r="CG25" i="49"/>
  <c r="CE25" i="49"/>
  <c r="CC25" i="49"/>
  <c r="CA25" i="49"/>
  <c r="BY25" i="49"/>
  <c r="BW25" i="49"/>
  <c r="BU25" i="49"/>
  <c r="BS25" i="49"/>
  <c r="BQ25" i="49"/>
  <c r="BO25" i="49"/>
  <c r="BM25" i="49"/>
  <c r="BK25" i="49"/>
  <c r="BI25" i="49"/>
  <c r="BG25" i="49"/>
  <c r="BF25" i="49"/>
  <c r="CU24" i="49"/>
  <c r="CS24" i="49"/>
  <c r="CQ24" i="49"/>
  <c r="CO24" i="49"/>
  <c r="CM24" i="49"/>
  <c r="CK24" i="49"/>
  <c r="CI24" i="49"/>
  <c r="CG24" i="49"/>
  <c r="CE24" i="49"/>
  <c r="CC24" i="49"/>
  <c r="CA24" i="49"/>
  <c r="BY24" i="49"/>
  <c r="BW24" i="49"/>
  <c r="BU24" i="49"/>
  <c r="BS24" i="49"/>
  <c r="BQ24" i="49"/>
  <c r="BO24" i="49"/>
  <c r="BO26" i="49"/>
  <c r="BM24" i="49"/>
  <c r="BK24" i="49"/>
  <c r="BI24" i="49"/>
  <c r="BG24" i="49"/>
  <c r="BF24" i="49"/>
  <c r="BE24" i="49"/>
  <c r="CU23" i="49"/>
  <c r="CS23" i="49"/>
  <c r="CQ23" i="49"/>
  <c r="CC23" i="49"/>
  <c r="CA23" i="49"/>
  <c r="BY23" i="49"/>
  <c r="BW23" i="49"/>
  <c r="BU23" i="49"/>
  <c r="BS23" i="49"/>
  <c r="BQ23" i="49"/>
  <c r="BM23" i="49"/>
  <c r="BK23" i="49"/>
  <c r="BI23" i="49"/>
  <c r="BG23" i="49"/>
  <c r="BF23" i="49"/>
  <c r="CU22" i="49"/>
  <c r="CS22" i="49"/>
  <c r="CQ22" i="49"/>
  <c r="CO22" i="49"/>
  <c r="CM22" i="49"/>
  <c r="CK22" i="49"/>
  <c r="CI22" i="49"/>
  <c r="CG22" i="49"/>
  <c r="CE22" i="49"/>
  <c r="CC22" i="49"/>
  <c r="CA22" i="49"/>
  <c r="BY22" i="49"/>
  <c r="BW22" i="49"/>
  <c r="BU22" i="49"/>
  <c r="BS22" i="49"/>
  <c r="BQ22" i="49"/>
  <c r="BO22" i="49"/>
  <c r="BM22" i="49"/>
  <c r="BK22" i="49"/>
  <c r="BI22" i="49"/>
  <c r="BG22" i="49"/>
  <c r="BF22" i="49"/>
  <c r="BE22" i="49"/>
  <c r="CU21" i="49"/>
  <c r="CS21" i="49"/>
  <c r="CQ21" i="49"/>
  <c r="CO21" i="49"/>
  <c r="CO23" i="49"/>
  <c r="CM21" i="49"/>
  <c r="CK21" i="49"/>
  <c r="CK23" i="49"/>
  <c r="CI21" i="49"/>
  <c r="CI23" i="49"/>
  <c r="CG21" i="49"/>
  <c r="CG23" i="49"/>
  <c r="CE21" i="49"/>
  <c r="CE23" i="49"/>
  <c r="CC21" i="49"/>
  <c r="CA21" i="49"/>
  <c r="BY21" i="49"/>
  <c r="BW21" i="49"/>
  <c r="BU21" i="49"/>
  <c r="BS21" i="49"/>
  <c r="BQ21" i="49"/>
  <c r="BO21" i="49"/>
  <c r="BO23" i="49"/>
  <c r="BM21" i="49"/>
  <c r="BK21" i="49"/>
  <c r="BI21" i="49"/>
  <c r="BG21" i="49"/>
  <c r="BF21" i="49"/>
  <c r="CU16" i="49"/>
  <c r="CS16" i="49"/>
  <c r="CQ16" i="49"/>
  <c r="CO16" i="49"/>
  <c r="CM16" i="49"/>
  <c r="CK16" i="49"/>
  <c r="CI16" i="49"/>
  <c r="CG16" i="49"/>
  <c r="CE16" i="49"/>
  <c r="CC16" i="49"/>
  <c r="CA16" i="49"/>
  <c r="BY16" i="49"/>
  <c r="BW16" i="49"/>
  <c r="BU16" i="49"/>
  <c r="BS16" i="49"/>
  <c r="BQ16" i="49"/>
  <c r="BO16" i="49"/>
  <c r="BM16" i="49"/>
  <c r="BK16" i="49"/>
  <c r="BI16" i="49"/>
  <c r="BG16" i="49"/>
  <c r="BE16" i="49"/>
  <c r="CU15" i="49"/>
  <c r="CS15" i="49"/>
  <c r="CQ15" i="49"/>
  <c r="CO15" i="49"/>
  <c r="CM15" i="49"/>
  <c r="CK15" i="49"/>
  <c r="CI15" i="49"/>
  <c r="CG15" i="49"/>
  <c r="CE15" i="49"/>
  <c r="CC15" i="49"/>
  <c r="CA15" i="49"/>
  <c r="BY15" i="49"/>
  <c r="BW15" i="49"/>
  <c r="BU15" i="49"/>
  <c r="BS15" i="49"/>
  <c r="BQ15" i="49"/>
  <c r="BO15" i="49"/>
  <c r="BM15" i="49"/>
  <c r="BK15" i="49"/>
  <c r="BI15" i="49"/>
  <c r="BG15" i="49"/>
  <c r="BE15" i="49"/>
  <c r="CU14" i="49"/>
  <c r="CS14" i="49"/>
  <c r="CQ14" i="49"/>
  <c r="CO14" i="49"/>
  <c r="CM14" i="49"/>
  <c r="CK14" i="49"/>
  <c r="CI14" i="49"/>
  <c r="CG14" i="49"/>
  <c r="CE14" i="49"/>
  <c r="CC14" i="49"/>
  <c r="CA14" i="49"/>
  <c r="BY14" i="49"/>
  <c r="BW14" i="49"/>
  <c r="BU14" i="49"/>
  <c r="BS14" i="49"/>
  <c r="BQ14" i="49"/>
  <c r="BO14" i="49"/>
  <c r="BM14" i="49"/>
  <c r="BK14" i="49"/>
  <c r="BI14" i="49"/>
  <c r="BG14" i="49"/>
  <c r="BE14" i="49"/>
  <c r="CU13" i="49"/>
  <c r="CS13" i="49"/>
  <c r="CQ13" i="49"/>
  <c r="CO13" i="49"/>
  <c r="CM13" i="49"/>
  <c r="CK13" i="49"/>
  <c r="CI13" i="49"/>
  <c r="CG13" i="49"/>
  <c r="CE13" i="49"/>
  <c r="CC13" i="49"/>
  <c r="CA13" i="49"/>
  <c r="BY13" i="49"/>
  <c r="BW13" i="49"/>
  <c r="BU13" i="49"/>
  <c r="BS13" i="49"/>
  <c r="BQ13" i="49"/>
  <c r="BO13" i="49"/>
  <c r="BM13" i="49"/>
  <c r="BK13" i="49"/>
  <c r="BI13" i="49"/>
  <c r="BG13" i="49"/>
  <c r="BE13" i="49"/>
  <c r="CU12" i="49"/>
  <c r="CS12" i="49"/>
  <c r="CQ12" i="49"/>
  <c r="CO12" i="49"/>
  <c r="CM12" i="49"/>
  <c r="CK12" i="49"/>
  <c r="CI12" i="49"/>
  <c r="CG12" i="49"/>
  <c r="CE12" i="49"/>
  <c r="CC12" i="49"/>
  <c r="CA12" i="49"/>
  <c r="BY12" i="49"/>
  <c r="BW12" i="49"/>
  <c r="BU12" i="49"/>
  <c r="BS12" i="49"/>
  <c r="BQ12" i="49"/>
  <c r="BO12" i="49"/>
  <c r="BM12" i="49"/>
  <c r="BK12" i="49"/>
  <c r="BI12" i="49"/>
  <c r="BG12" i="49"/>
  <c r="BE12" i="49"/>
  <c r="CU11" i="49"/>
  <c r="CS11" i="49"/>
  <c r="CQ11" i="49"/>
  <c r="CO11" i="49"/>
  <c r="CM11" i="49"/>
  <c r="CK11" i="49"/>
  <c r="CI11" i="49"/>
  <c r="CG11" i="49"/>
  <c r="CE11" i="49"/>
  <c r="CC11" i="49"/>
  <c r="CA11" i="49"/>
  <c r="BY11" i="49"/>
  <c r="BW11" i="49"/>
  <c r="BU11" i="49"/>
  <c r="BS11" i="49"/>
  <c r="BQ11" i="49"/>
  <c r="BO11" i="49"/>
  <c r="BM11" i="49"/>
  <c r="BK11" i="49"/>
  <c r="BI11" i="49"/>
  <c r="BG11" i="49"/>
  <c r="BE11" i="49"/>
  <c r="CU10" i="49"/>
  <c r="CS10" i="49"/>
  <c r="CQ10" i="49"/>
  <c r="CO10" i="49"/>
  <c r="CM10" i="49"/>
  <c r="CK10" i="49"/>
  <c r="CI10" i="49"/>
  <c r="CG10" i="49"/>
  <c r="CE10" i="49"/>
  <c r="CC10" i="49"/>
  <c r="CA10" i="49"/>
  <c r="BY10" i="49"/>
  <c r="BW10" i="49"/>
  <c r="BU10" i="49"/>
  <c r="BS10" i="49"/>
  <c r="BQ10" i="49"/>
  <c r="BO10" i="49"/>
  <c r="BM10" i="49"/>
  <c r="BK10" i="49"/>
  <c r="BI10" i="49"/>
  <c r="BG10" i="49"/>
  <c r="F10" i="49"/>
  <c r="BE10" i="49"/>
  <c r="CU9" i="49"/>
  <c r="CS9" i="49"/>
  <c r="CQ9" i="49"/>
  <c r="CO9" i="49"/>
  <c r="CM9" i="49"/>
  <c r="CK9" i="49"/>
  <c r="CI9" i="49"/>
  <c r="CG9" i="49"/>
  <c r="CE9" i="49"/>
  <c r="CC9" i="49"/>
  <c r="CA9" i="49"/>
  <c r="BY9" i="49"/>
  <c r="BW9" i="49"/>
  <c r="BU9" i="49"/>
  <c r="BS9" i="49"/>
  <c r="BQ9" i="49"/>
  <c r="BO9" i="49"/>
  <c r="BM9" i="49"/>
  <c r="BK9" i="49"/>
  <c r="BI9" i="49"/>
  <c r="BG9" i="49"/>
  <c r="BE9" i="49"/>
  <c r="CU8" i="49"/>
  <c r="CS8" i="49"/>
  <c r="CQ8" i="49"/>
  <c r="CO8" i="49"/>
  <c r="CM8" i="49"/>
  <c r="CK8" i="49"/>
  <c r="CI8" i="49"/>
  <c r="CG8" i="49"/>
  <c r="CE8" i="49"/>
  <c r="CC8" i="49"/>
  <c r="CA8" i="49"/>
  <c r="BY8" i="49"/>
  <c r="BW8" i="49"/>
  <c r="BU8" i="49"/>
  <c r="BS8" i="49"/>
  <c r="BQ8" i="49"/>
  <c r="BO8" i="49"/>
  <c r="BM8" i="49"/>
  <c r="BK8" i="49"/>
  <c r="BI8" i="49"/>
  <c r="BG8" i="49"/>
  <c r="BE8" i="49"/>
  <c r="CS28" i="41"/>
  <c r="CQ28" i="41"/>
  <c r="CO28" i="41"/>
  <c r="CM28" i="41"/>
  <c r="CK28" i="41"/>
  <c r="CI28" i="41"/>
  <c r="CG28" i="41"/>
  <c r="CE28" i="41"/>
  <c r="CC28" i="41"/>
  <c r="CA28" i="41"/>
  <c r="BY28" i="41"/>
  <c r="BW28" i="41"/>
  <c r="BU28" i="41"/>
  <c r="BS28" i="41"/>
  <c r="BQ28" i="41"/>
  <c r="BO28" i="41"/>
  <c r="BM28" i="41"/>
  <c r="BK28" i="41"/>
  <c r="BI28" i="41"/>
  <c r="BG28" i="41"/>
  <c r="BE28" i="41"/>
  <c r="BC28" i="41"/>
  <c r="CS27" i="41"/>
  <c r="CQ27" i="41"/>
  <c r="CO27" i="41"/>
  <c r="CM27" i="41"/>
  <c r="CK27" i="41"/>
  <c r="CI27" i="41"/>
  <c r="CG27" i="41"/>
  <c r="CE27" i="41"/>
  <c r="CC27" i="41"/>
  <c r="CA27" i="41"/>
  <c r="BY27" i="41"/>
  <c r="BW27" i="41"/>
  <c r="BU27" i="41"/>
  <c r="BS27" i="41"/>
  <c r="BQ27" i="41"/>
  <c r="BO27" i="41"/>
  <c r="BM27" i="41"/>
  <c r="BK27" i="41"/>
  <c r="BI27" i="41"/>
  <c r="BG27" i="41"/>
  <c r="BE27" i="41"/>
  <c r="BC27" i="41"/>
  <c r="CS26" i="41"/>
  <c r="CQ26" i="41"/>
  <c r="CO26" i="41"/>
  <c r="CM26" i="41"/>
  <c r="CK26" i="41"/>
  <c r="CI26" i="41"/>
  <c r="CG26" i="41"/>
  <c r="CE26" i="41"/>
  <c r="CC26" i="41"/>
  <c r="CA26" i="41"/>
  <c r="BY26" i="41"/>
  <c r="BW26" i="41"/>
  <c r="BU26" i="41"/>
  <c r="BS26" i="41"/>
  <c r="BQ26" i="41"/>
  <c r="BO26" i="41"/>
  <c r="BM26" i="41"/>
  <c r="BK26" i="41"/>
  <c r="BI26" i="41"/>
  <c r="BG26" i="41"/>
  <c r="BE26" i="41"/>
  <c r="BC26" i="41"/>
  <c r="CS25" i="41"/>
  <c r="CQ25" i="41"/>
  <c r="CO25" i="41"/>
  <c r="CM25" i="41"/>
  <c r="CK25" i="41"/>
  <c r="CI25" i="41"/>
  <c r="CG25" i="41"/>
  <c r="CE25" i="41"/>
  <c r="CC25" i="41"/>
  <c r="CA25" i="41"/>
  <c r="BY25" i="41"/>
  <c r="BW25" i="41"/>
  <c r="BU25" i="41"/>
  <c r="BS25" i="41"/>
  <c r="BQ25" i="41"/>
  <c r="BO25" i="41"/>
  <c r="BM25" i="41"/>
  <c r="BK25" i="41"/>
  <c r="BI25" i="41"/>
  <c r="BG25" i="41"/>
  <c r="BE25" i="41"/>
  <c r="BC25" i="41"/>
  <c r="CS24" i="41"/>
  <c r="CQ24" i="41"/>
  <c r="CO24" i="41"/>
  <c r="CM24" i="41"/>
  <c r="CK24" i="41"/>
  <c r="CI24" i="41"/>
  <c r="CG24" i="41"/>
  <c r="CE24" i="41"/>
  <c r="CC24" i="41"/>
  <c r="CA24" i="41"/>
  <c r="BY24" i="41"/>
  <c r="BW24" i="41"/>
  <c r="BU24" i="41"/>
  <c r="BS24" i="41"/>
  <c r="BQ24" i="41"/>
  <c r="BO24" i="41"/>
  <c r="BM24" i="41"/>
  <c r="BK24" i="41"/>
  <c r="BI24" i="41"/>
  <c r="BG24" i="41"/>
  <c r="BE24" i="41"/>
  <c r="BC24" i="41"/>
  <c r="CS23" i="41"/>
  <c r="CQ23" i="41"/>
  <c r="CO23" i="41"/>
  <c r="CM23" i="41"/>
  <c r="CK23" i="41"/>
  <c r="CI23" i="41"/>
  <c r="CG23" i="41"/>
  <c r="CE23" i="41"/>
  <c r="CC23" i="41"/>
  <c r="CA23" i="41"/>
  <c r="BY23" i="41"/>
  <c r="BW23" i="41"/>
  <c r="BU23" i="41"/>
  <c r="BS23" i="41"/>
  <c r="BQ23" i="41"/>
  <c r="BO23" i="41"/>
  <c r="BM23" i="41"/>
  <c r="BK23" i="41"/>
  <c r="BI23" i="41"/>
  <c r="BG23" i="41"/>
  <c r="BE23" i="41"/>
  <c r="BC23" i="41"/>
  <c r="CS20" i="41"/>
  <c r="CQ20" i="41"/>
  <c r="CO20" i="41"/>
  <c r="CM20" i="41"/>
  <c r="CK20" i="41"/>
  <c r="CI20" i="41"/>
  <c r="CG20" i="41"/>
  <c r="CE20" i="41"/>
  <c r="CC20" i="41"/>
  <c r="CA20" i="41"/>
  <c r="BY20" i="41"/>
  <c r="BW20" i="41"/>
  <c r="BU20" i="41"/>
  <c r="BS20" i="41"/>
  <c r="BQ20" i="41"/>
  <c r="BO20" i="41"/>
  <c r="BM20" i="41"/>
  <c r="BK20" i="41"/>
  <c r="BI20" i="41"/>
  <c r="BG20" i="41"/>
  <c r="BE20" i="41"/>
  <c r="CS19" i="41"/>
  <c r="CQ19" i="41"/>
  <c r="CO19" i="41"/>
  <c r="CM19" i="41"/>
  <c r="CK19" i="41"/>
  <c r="CI19" i="41"/>
  <c r="CG19" i="41"/>
  <c r="CE19" i="41"/>
  <c r="CC19" i="41"/>
  <c r="CA19" i="41"/>
  <c r="BY19" i="41"/>
  <c r="BW19" i="41"/>
  <c r="BU19" i="41"/>
  <c r="BS19" i="41"/>
  <c r="BQ19" i="41"/>
  <c r="BO19" i="41"/>
  <c r="BM19" i="41"/>
  <c r="BK19" i="41"/>
  <c r="BI19" i="41"/>
  <c r="BG19" i="41"/>
  <c r="BE19" i="41"/>
  <c r="CS18" i="41"/>
  <c r="CQ18" i="41"/>
  <c r="CO18" i="41"/>
  <c r="CM18" i="41"/>
  <c r="CK18" i="41"/>
  <c r="CI18" i="41"/>
  <c r="CG18" i="41"/>
  <c r="CE18" i="41"/>
  <c r="CC18" i="41"/>
  <c r="CA18" i="41"/>
  <c r="BY18" i="41"/>
  <c r="BW18" i="41"/>
  <c r="BU18" i="41"/>
  <c r="BS18" i="41"/>
  <c r="BQ18" i="41"/>
  <c r="BO18" i="41"/>
  <c r="BM18" i="41"/>
  <c r="BK18" i="41"/>
  <c r="BI18" i="41"/>
  <c r="BG18" i="41"/>
  <c r="BE18" i="41"/>
  <c r="CS16" i="41"/>
  <c r="CQ16" i="41"/>
  <c r="CO16" i="41"/>
  <c r="CM16" i="41"/>
  <c r="CK16" i="41"/>
  <c r="CI16" i="41"/>
  <c r="CG16" i="41"/>
  <c r="CE16" i="41"/>
  <c r="CC16" i="41"/>
  <c r="CA16" i="41"/>
  <c r="BY16" i="41"/>
  <c r="BW16" i="41"/>
  <c r="BU16" i="41"/>
  <c r="BS16" i="41"/>
  <c r="BQ16" i="41"/>
  <c r="BO16" i="41"/>
  <c r="BM16" i="41"/>
  <c r="BK16" i="41"/>
  <c r="BI16" i="41"/>
  <c r="BG16" i="41"/>
  <c r="BE16" i="41"/>
  <c r="CS15" i="41"/>
  <c r="CQ15" i="41"/>
  <c r="CO15" i="41"/>
  <c r="CM15" i="41"/>
  <c r="CK15" i="41"/>
  <c r="CI15" i="41"/>
  <c r="CG15" i="41"/>
  <c r="CE15" i="41"/>
  <c r="CC15" i="41"/>
  <c r="CA15" i="41"/>
  <c r="BY15" i="41"/>
  <c r="BW15" i="41"/>
  <c r="BU15" i="41"/>
  <c r="BS15" i="41"/>
  <c r="BQ15" i="41"/>
  <c r="BO15" i="41"/>
  <c r="BM15" i="41"/>
  <c r="BK15" i="41"/>
  <c r="BI15" i="41"/>
  <c r="BG15" i="41"/>
  <c r="BE15" i="41"/>
  <c r="CS14" i="41"/>
  <c r="CQ14" i="41"/>
  <c r="CO14" i="41"/>
  <c r="CM14" i="41"/>
  <c r="CK14" i="41"/>
  <c r="CI14" i="41"/>
  <c r="CG14" i="41"/>
  <c r="CE14" i="41"/>
  <c r="CC14" i="41"/>
  <c r="CA14" i="41"/>
  <c r="BY14" i="41"/>
  <c r="BW14" i="41"/>
  <c r="BU14" i="41"/>
  <c r="BS14" i="41"/>
  <c r="BQ14" i="41"/>
  <c r="BO14" i="41"/>
  <c r="BM14" i="41"/>
  <c r="BK14" i="41"/>
  <c r="BI14" i="41"/>
  <c r="BG14" i="41"/>
  <c r="BE14" i="41"/>
  <c r="CS13" i="41"/>
  <c r="CQ13" i="41"/>
  <c r="CO13" i="41"/>
  <c r="CM13" i="41"/>
  <c r="CK13" i="41"/>
  <c r="CI13" i="41"/>
  <c r="CG13" i="41"/>
  <c r="CE13" i="41"/>
  <c r="CC13" i="41"/>
  <c r="CA13" i="41"/>
  <c r="BY13" i="41"/>
  <c r="BW13" i="41"/>
  <c r="BU13" i="41"/>
  <c r="BS13" i="41"/>
  <c r="BQ13" i="41"/>
  <c r="BO13" i="41"/>
  <c r="BM13" i="41"/>
  <c r="BK13" i="41"/>
  <c r="BI13" i="41"/>
  <c r="BG13" i="41"/>
  <c r="BE13" i="41"/>
  <c r="CS12" i="41"/>
  <c r="CQ12" i="41"/>
  <c r="CO12" i="41"/>
  <c r="CM12" i="41"/>
  <c r="CK12" i="41"/>
  <c r="CI12" i="41"/>
  <c r="CG12" i="41"/>
  <c r="CE12" i="41"/>
  <c r="CC12" i="41"/>
  <c r="CA12" i="41"/>
  <c r="BY12" i="41"/>
  <c r="BW12" i="41"/>
  <c r="BU12" i="41"/>
  <c r="BS12" i="41"/>
  <c r="BQ12" i="41"/>
  <c r="BO12" i="41"/>
  <c r="BM12" i="41"/>
  <c r="BK12" i="41"/>
  <c r="BI12" i="41"/>
  <c r="BG12" i="41"/>
  <c r="BE12" i="41"/>
  <c r="CS10" i="41"/>
  <c r="CQ10" i="41"/>
  <c r="CO10" i="41"/>
  <c r="CM10" i="41"/>
  <c r="CK10" i="41"/>
  <c r="CI10" i="41"/>
  <c r="CG10" i="41"/>
  <c r="CE10" i="41"/>
  <c r="CC10" i="41"/>
  <c r="CA10" i="41"/>
  <c r="BY10" i="41"/>
  <c r="BW10" i="41"/>
  <c r="BU10" i="41"/>
  <c r="BS10" i="41"/>
  <c r="BQ10" i="41"/>
  <c r="BO10" i="41"/>
  <c r="BM10" i="41"/>
  <c r="BK10" i="41"/>
  <c r="BI10" i="41"/>
  <c r="BG10" i="41"/>
  <c r="BE10" i="41"/>
  <c r="CS9" i="41"/>
  <c r="CQ9" i="41"/>
  <c r="CO9" i="41"/>
  <c r="CM9" i="41"/>
  <c r="CK9" i="41"/>
  <c r="CI9" i="41"/>
  <c r="CG9" i="41"/>
  <c r="CE9" i="41"/>
  <c r="CC9" i="41"/>
  <c r="CA9" i="41"/>
  <c r="BY9" i="41"/>
  <c r="BW9" i="41"/>
  <c r="BU9" i="41"/>
  <c r="BS9" i="41"/>
  <c r="BQ9" i="41"/>
  <c r="BO9" i="41"/>
  <c r="BM9" i="41"/>
  <c r="BK9" i="41"/>
  <c r="BI9" i="41"/>
  <c r="BG9" i="41"/>
  <c r="BE9" i="41"/>
  <c r="CS8" i="41"/>
  <c r="CQ8" i="41"/>
  <c r="CO8" i="41"/>
  <c r="CM8" i="41"/>
  <c r="CK8" i="41"/>
  <c r="CI8" i="41"/>
  <c r="CG8" i="41"/>
  <c r="CE8" i="41"/>
  <c r="CC8" i="41"/>
  <c r="CA8" i="41"/>
  <c r="BY8" i="41"/>
  <c r="BW8" i="41"/>
  <c r="BU8" i="41"/>
  <c r="BS8" i="41"/>
  <c r="BQ8" i="41"/>
  <c r="BO8" i="41"/>
  <c r="BM8" i="41"/>
  <c r="BK8" i="41"/>
  <c r="BI8" i="41"/>
  <c r="BG8" i="41"/>
  <c r="BE8" i="41"/>
  <c r="Z35" i="41"/>
  <c r="AM36" i="41"/>
  <c r="AM34" i="41"/>
  <c r="AM32" i="41"/>
  <c r="AM30" i="41"/>
  <c r="AM28" i="41"/>
  <c r="E30" i="41"/>
  <c r="AH28" i="41"/>
  <c r="AD30" i="41"/>
  <c r="BE21" i="49"/>
  <c r="BE23" i="49"/>
  <c r="BE25" i="49"/>
  <c r="BE26" i="49"/>
  <c r="BE30" i="49"/>
  <c r="BE32" i="49"/>
  <c r="CM23" i="49"/>
  <c r="CS39" i="52"/>
  <c r="CO39" i="52"/>
  <c r="CQ39" i="52"/>
  <c r="CM39" i="52"/>
</calcChain>
</file>

<file path=xl/comments1.xml><?xml version="1.0" encoding="utf-8"?>
<comments xmlns="http://schemas.openxmlformats.org/spreadsheetml/2006/main">
  <authors>
    <author>Reena Shah</author>
    <author>Jeremy Webb</author>
    <author>United Nations</author>
  </authors>
  <commentList>
    <comment ref="F7" authorId="0" shapeId="0">
      <text>
        <r>
          <rPr>
            <b/>
            <sz val="8"/>
            <color indexed="81"/>
            <rFont val="Tahoma"/>
            <family val="2"/>
          </rPr>
          <t xml:space="preserve">Moyenne annuelle à long terme:
</t>
        </r>
        <r>
          <rPr>
            <sz val="8"/>
            <color indexed="81"/>
            <rFont val="Tahoma"/>
            <family val="2"/>
          </rPr>
          <t>Moyenne arithmétique applicable sur au moins 30 années consécutives. Veuillez indiquer la moyenne correspondant à la période retenue et indiquer la durée de cette période dans une note de bas de page.</t>
        </r>
      </text>
    </comment>
    <comment ref="D8" authorId="1" shapeId="0">
      <text>
        <r>
          <rPr>
            <b/>
            <sz val="8"/>
            <color indexed="81"/>
            <rFont val="Tahoma"/>
            <family val="2"/>
          </rPr>
          <t>Précipitations:</t>
        </r>
        <r>
          <rPr>
            <sz val="8"/>
            <color indexed="81"/>
            <rFont val="Tahoma"/>
            <family val="2"/>
          </rPr>
          <t xml:space="preserve">
Volume total des précipitations atmosphériques humides (pluie, neige, grêle, rosée, etc.) tombées sur le territoire du pays en un an, en millions de mètres cubes.</t>
        </r>
      </text>
    </comment>
    <comment ref="D9" authorId="1" shapeId="0">
      <text>
        <r>
          <rPr>
            <b/>
            <sz val="8"/>
            <color indexed="81"/>
            <rFont val="Tahoma"/>
            <family val="2"/>
          </rPr>
          <t>Évapotranspiration réelle:</t>
        </r>
        <r>
          <rPr>
            <sz val="8"/>
            <color indexed="81"/>
            <rFont val="Tahoma"/>
            <family val="2"/>
          </rPr>
          <t xml:space="preserve">
</t>
        </r>
        <r>
          <rPr>
            <sz val="8"/>
            <color indexed="81"/>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10" authorId="1" shapeId="0">
      <text>
        <r>
          <rPr>
            <b/>
            <sz val="8"/>
            <color indexed="81"/>
            <rFont val="Tahoma"/>
            <family val="2"/>
          </rPr>
          <t>Flux interne:</t>
        </r>
        <r>
          <rPr>
            <sz val="8"/>
            <color indexed="81"/>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11" authorId="1" shapeId="0">
      <text>
        <r>
          <rPr>
            <b/>
            <sz val="8"/>
            <color indexed="81"/>
            <rFont val="Tahoma"/>
            <family val="2"/>
          </rPr>
          <t>Apport externe d’eaux de surface et d’eaux souterraines des pays voisins:</t>
        </r>
        <r>
          <rPr>
            <sz val="8"/>
            <color indexed="81"/>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2" authorId="1" shapeId="0">
      <text>
        <r>
          <rPr>
            <b/>
            <sz val="8"/>
            <color indexed="81"/>
            <rFont val="Tahoma"/>
            <family val="2"/>
          </rPr>
          <t xml:space="preserve">Ressources renouvelables en eau douce: 
</t>
        </r>
        <r>
          <rPr>
            <sz val="8"/>
            <color indexed="81"/>
            <rFont val="Tahoma"/>
            <family val="2"/>
          </rPr>
          <t>Le volume des ressources renouvelables en eau douce est égal à la somme du flux interne et des apports externes d’eaux de surface et d’eaux souterraines des pays voisins.</t>
        </r>
      </text>
    </comment>
    <comment ref="D13" authorId="1" shapeId="0">
      <text>
        <r>
          <rPr>
            <b/>
            <sz val="8"/>
            <color indexed="81"/>
            <rFont val="Tahoma"/>
            <family val="2"/>
          </rPr>
          <t>Flux sortant d’eaux de surface et d’eaux souterraines vers les pays voisins:</t>
        </r>
        <r>
          <rPr>
            <sz val="8"/>
            <color indexed="81"/>
            <rFont val="Tahoma"/>
            <family val="2"/>
          </rPr>
          <t xml:space="preserve">
Volume réel de l’eau des cours d’eau et des eaux souterraines qui est déversé dans les pays voisins.</t>
        </r>
      </text>
    </comment>
    <comment ref="D14" authorId="2" shapeId="0">
      <text>
        <r>
          <rPr>
            <b/>
            <sz val="8"/>
            <color indexed="81"/>
            <rFont val="Tahoma"/>
            <family val="2"/>
          </rPr>
          <t xml:space="preserve">Faisant l’objet de traités:
</t>
        </r>
        <r>
          <rPr>
            <sz val="8"/>
            <color indexed="81"/>
            <rFont val="Tahoma"/>
            <family val="2"/>
          </rPr>
          <t>Volume des eaux de surface et des eaux souterraines déversé depuis le pays de référence vers des pays voisins qui est garanti chaque année par des accords officiels.</t>
        </r>
      </text>
    </comment>
    <comment ref="D15" authorId="2" shapeId="0">
      <text>
        <r>
          <rPr>
            <b/>
            <sz val="8"/>
            <color indexed="81"/>
            <rFont val="Tahoma"/>
            <family val="2"/>
          </rPr>
          <t xml:space="preserve">Ne faisant l’objet d’aucun traité:
</t>
        </r>
        <r>
          <rPr>
            <sz val="8"/>
            <color indexed="81"/>
            <rFont val="Tahoma"/>
            <family val="2"/>
          </rPr>
          <t>Volume des eaux de surface et des eaux souterraines déversé depuis le pays de référence vers des pays voisins qui n’est pas garanti chaque année par des accords officiels.</t>
        </r>
      </text>
    </comment>
    <comment ref="D16" authorId="2" shapeId="0">
      <text>
        <r>
          <rPr>
            <b/>
            <sz val="8"/>
            <color indexed="81"/>
            <rFont val="Tahoma"/>
            <family val="2"/>
          </rPr>
          <t>Flux sortant d'eaux de surface et d'eaux souterraines vers la mer:</t>
        </r>
        <r>
          <rPr>
            <sz val="8"/>
            <color indexed="81"/>
            <rFont val="Tahoma"/>
            <family val="2"/>
          </rPr>
          <t xml:space="preserve">
Volume réel de l’eau des cours d’eau et des eaux souterraines qui est déversé dans la mer.</t>
        </r>
      </text>
    </comment>
  </commentList>
</comments>
</file>

<file path=xl/comments2.xml><?xml version="1.0" encoding="utf-8"?>
<comments xmlns="http://schemas.openxmlformats.org/spreadsheetml/2006/main">
  <authors>
    <author>ELALAOUI</author>
    <author>User.Stat3</author>
    <author>Jeremy Webb</author>
    <author>United Nations</author>
  </authors>
  <commentList>
    <comment ref="C8" authorId="0" shapeId="0">
      <text>
        <r>
          <rPr>
            <b/>
            <sz val="9"/>
            <color indexed="81"/>
            <rFont val="Tahoma"/>
            <family val="2"/>
          </rPr>
          <t>ELALAOUI:</t>
        </r>
        <r>
          <rPr>
            <sz val="9"/>
            <color indexed="81"/>
            <rFont val="Tahoma"/>
            <family val="2"/>
          </rPr>
          <t xml:space="preserve">
l'historique des volumes prelevés citée ci-joint concerne les prélevements d'AEP et d' irrigation assurés par les retenues des barrages.</t>
        </r>
      </text>
    </comment>
    <comment ref="D8" authorId="1" shapeId="0">
      <text>
        <r>
          <rPr>
            <b/>
            <sz val="8"/>
            <color indexed="81"/>
            <rFont val="Tahoma"/>
            <family val="2"/>
          </rPr>
          <t xml:space="preserve">Volume d’eau douce de surface prélevé:
</t>
        </r>
        <r>
          <rPr>
            <sz val="8"/>
            <color indexed="81"/>
            <rFont val="Tahoma"/>
            <family val="2"/>
          </rPr>
          <t xml:space="preserve">Eau prélevée de manière soit permanente soit temporaire à une quelconque source d’eaux de surface, par exemple des cours d’eau, des lacs, des réservoirs ou les eaux de pluie.
</t>
        </r>
        <r>
          <rPr>
            <sz val="8"/>
            <color indexed="81"/>
            <rFont val="Tahoma"/>
            <family val="2"/>
          </rPr>
          <t xml:space="preserve">
</t>
        </r>
      </text>
    </comment>
    <comment ref="D9" authorId="1" shapeId="0">
      <text>
        <r>
          <rPr>
            <b/>
            <sz val="8"/>
            <color indexed="81"/>
            <rFont val="Tahoma"/>
            <family val="2"/>
          </rPr>
          <t>Volume d’eau douce souterraine prélevé:</t>
        </r>
        <r>
          <rPr>
            <sz val="8"/>
            <color indexed="81"/>
            <rFont val="Tahoma"/>
            <family val="2"/>
          </rPr>
          <t xml:space="preserve">
Eau prélevée, soit de manière permanente, soit de manière temporaire, à une quelconque source d’eaux souterraines.</t>
        </r>
      </text>
    </comment>
    <comment ref="D10" authorId="2" shapeId="0">
      <text>
        <r>
          <rPr>
            <b/>
            <sz val="8"/>
            <color indexed="81"/>
            <rFont val="Tahoma"/>
            <family val="2"/>
          </rPr>
          <t xml:space="preserve">Volume d’eau douce prélevé:
</t>
        </r>
        <r>
          <rPr>
            <sz val="8"/>
            <color indexed="81"/>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2" authorId="3" shapeId="0">
      <text>
        <r>
          <rPr>
            <sz val="8"/>
            <color indexed="81"/>
            <rFont val="Tahoma"/>
            <family val="2"/>
          </rPr>
          <t xml:space="preserve">(Volume d’eau douce prélevé par) </t>
        </r>
        <r>
          <rPr>
            <b/>
            <sz val="8"/>
            <color indexed="81"/>
            <rFont val="Tahoma"/>
            <family val="2"/>
          </rPr>
          <t>les services d’alimentation en eau (CITI 36):</t>
        </r>
        <r>
          <rPr>
            <sz val="8"/>
            <color indexed="81"/>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3" authorId="3" shapeId="0">
      <text>
        <r>
          <rPr>
            <sz val="8"/>
            <color indexed="81"/>
            <rFont val="Tahoma"/>
            <family val="2"/>
          </rPr>
          <t>(Volume d’eau douce prélevé par)</t>
        </r>
        <r>
          <rPr>
            <sz val="8"/>
            <color indexed="81"/>
            <rFont val="Tahoma"/>
            <family val="2"/>
          </rPr>
          <t xml:space="preserve"> les </t>
        </r>
        <r>
          <rPr>
            <b/>
            <sz val="8"/>
            <color indexed="81"/>
            <rFont val="Tahoma"/>
            <family val="2"/>
          </rPr>
          <t>ménages</t>
        </r>
        <r>
          <rPr>
            <b/>
            <sz val="8"/>
            <color indexed="81"/>
            <rFont val="Tahoma"/>
            <family val="2"/>
          </rPr>
          <t>:</t>
        </r>
        <r>
          <rPr>
            <sz val="8"/>
            <color indexed="81"/>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4" authorId="3" shapeId="0">
      <text>
        <r>
          <rPr>
            <sz val="8"/>
            <color indexed="81"/>
            <rFont val="Tahoma"/>
            <family val="2"/>
          </rPr>
          <t xml:space="preserve">(Volume d’eau douce prélevé par) </t>
        </r>
        <r>
          <rPr>
            <b/>
            <sz val="8"/>
            <color indexed="81"/>
            <rFont val="Tahoma"/>
            <family val="2"/>
          </rPr>
          <t>l’agriculture, la sylviculture et la pêche (CITI 01-03):</t>
        </r>
        <r>
          <rPr>
            <sz val="8"/>
            <color indexed="81"/>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5" authorId="3" shapeId="0">
      <text>
        <r>
          <rPr>
            <sz val="8"/>
            <color indexed="81"/>
            <rFont val="Tahoma"/>
            <family val="2"/>
          </rPr>
          <t xml:space="preserve">(Volume d’eau douce prélevé par) les </t>
        </r>
        <r>
          <rPr>
            <b/>
            <sz val="8"/>
            <color indexed="81"/>
            <rFont val="Tahoma"/>
            <family val="2"/>
          </rPr>
          <t>activités de fabrication (CITI 10-33):</t>
        </r>
        <r>
          <rPr>
            <sz val="8"/>
            <color indexed="81"/>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16" authorId="3" shapeId="0">
      <text>
        <r>
          <rPr>
            <sz val="8"/>
            <color indexed="81"/>
            <rFont val="Tahoma"/>
            <family val="2"/>
          </rPr>
          <t>(Volume d’eau douce prélevé par)</t>
        </r>
        <r>
          <rPr>
            <b/>
            <sz val="8"/>
            <color indexed="81"/>
            <rFont val="Tahoma"/>
            <family val="2"/>
          </rPr>
          <t xml:space="preserve"> l’industrie électrique (CITI 351):
</t>
        </r>
        <r>
          <rPr>
            <sz val="8"/>
            <color indexed="81"/>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17" authorId="3" shapeId="0">
      <text>
        <r>
          <rPr>
            <sz val="8"/>
            <color indexed="81"/>
            <rFont val="Tahoma"/>
            <family val="2"/>
          </rPr>
          <t xml:space="preserve">(Volume d’eau douce prélevé par) les </t>
        </r>
        <r>
          <rPr>
            <b/>
            <sz val="8"/>
            <color indexed="81"/>
            <rFont val="Tahoma"/>
            <family val="2"/>
          </rPr>
          <t xml:space="preserve">autres activités économiques:
</t>
        </r>
        <r>
          <rPr>
            <sz val="8"/>
            <color indexed="81"/>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18" authorId="3" shapeId="0">
      <text>
        <r>
          <rPr>
            <b/>
            <sz val="8"/>
            <color indexed="81"/>
            <rFont val="Tahoma"/>
            <family val="2"/>
          </rPr>
          <t>Eau dessalée:</t>
        </r>
        <r>
          <rPr>
            <sz val="8"/>
            <color indexed="81"/>
            <rFont val="Tahoma"/>
            <family val="2"/>
          </rPr>
          <t xml:space="preserve">
Volume total d’eau obtenu par dessalement (élimination du sel) de l’eau de mer et des eaux saumâtres.</t>
        </r>
      </text>
    </comment>
    <comment ref="D19" authorId="3" shapeId="0">
      <text>
        <r>
          <rPr>
            <b/>
            <sz val="8"/>
            <color indexed="81"/>
            <rFont val="Tahoma"/>
            <family val="2"/>
          </rPr>
          <t>Eau réutilisée:</t>
        </r>
        <r>
          <rPr>
            <sz val="8"/>
            <color indexed="81"/>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0" authorId="3" shapeId="0">
      <text>
        <r>
          <rPr>
            <b/>
            <sz val="8"/>
            <color indexed="81"/>
            <rFont val="Tahoma"/>
            <family val="2"/>
          </rPr>
          <t>Importations d’eau:</t>
        </r>
        <r>
          <rPr>
            <sz val="8"/>
            <color indexed="81"/>
            <rFont val="Tahoma"/>
            <family val="2"/>
          </rPr>
          <t xml:space="preserve">
Eau importée d’autres pays en tant que matière première par pipeline, bateau ou camion. Elle ne comprend pas l’eau en bouteille.</t>
        </r>
      </text>
    </comment>
    <comment ref="D21" authorId="3" shapeId="0">
      <text>
        <r>
          <rPr>
            <b/>
            <sz val="8"/>
            <color indexed="81"/>
            <rFont val="Tahoma"/>
            <family val="2"/>
          </rPr>
          <t>Exportations d’eau:</t>
        </r>
        <r>
          <rPr>
            <sz val="8"/>
            <color indexed="81"/>
            <rFont val="Tahoma"/>
            <family val="2"/>
          </rPr>
          <t xml:space="preserve">
Eau exportée vers d’autres pays en tant que matière première par pipeline, bateau ou camion. Elle ne comprend pas l’eau en bouteille.</t>
        </r>
      </text>
    </comment>
    <comment ref="D22" authorId="3" shapeId="0">
      <text>
        <r>
          <rPr>
            <b/>
            <sz val="8"/>
            <color indexed="81"/>
            <rFont val="Tahoma"/>
            <family val="2"/>
          </rPr>
          <t>Quantité totale d’eau douce disponible et utilisable:</t>
        </r>
        <r>
          <rPr>
            <sz val="8"/>
            <color indexed="81"/>
            <rFont val="Tahoma"/>
            <family val="2"/>
          </rPr>
          <t xml:space="preserve">
 = Volume de l’eau douce prélevée + eau dessalée + eau réutilisée + eau importée - eau exportée.</t>
        </r>
      </text>
    </comment>
    <comment ref="D23" authorId="3" shapeId="0">
      <text>
        <r>
          <rPr>
            <b/>
            <sz val="8"/>
            <color indexed="81"/>
            <rFont val="Tahoma"/>
            <family val="2"/>
          </rPr>
          <t>Pertes au cours du transport:</t>
        </r>
        <r>
          <rPr>
            <sz val="8"/>
            <color indexed="81"/>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24" authorId="3" shapeId="0">
      <text>
        <r>
          <rPr>
            <b/>
            <sz val="8"/>
            <color indexed="81"/>
            <rFont val="Tahoma"/>
            <family val="2"/>
          </rPr>
          <t>Quantité totale d’eau douce utilisée:</t>
        </r>
        <r>
          <rPr>
            <sz val="8"/>
            <color indexed="81"/>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26" authorId="3" shapeId="0">
      <text>
        <r>
          <rPr>
            <sz val="8"/>
            <color indexed="81"/>
            <rFont val="Tahoma"/>
            <family val="2"/>
          </rPr>
          <t xml:space="preserve">(Eau douce utilisée par) les </t>
        </r>
        <r>
          <rPr>
            <b/>
            <sz val="8"/>
            <color indexed="81"/>
            <rFont val="Tahoma"/>
            <family val="2"/>
          </rPr>
          <t>ménages:</t>
        </r>
        <r>
          <rPr>
            <sz val="8"/>
            <color indexed="81"/>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27" authorId="3" shapeId="0">
      <text>
        <r>
          <rPr>
            <b/>
            <sz val="8"/>
            <color indexed="81"/>
            <rFont val="Tahoma"/>
            <family val="2"/>
          </rPr>
          <t>(Eau douce utilisée par) l’agriculture, la sylviculture et la pêche (CITI 01-03):</t>
        </r>
        <r>
          <rPr>
            <sz val="8"/>
            <color indexed="81"/>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28" authorId="3" shapeId="0">
      <text>
        <r>
          <rPr>
            <b/>
            <sz val="8"/>
            <color indexed="81"/>
            <rFont val="Tahoma"/>
            <family val="2"/>
          </rPr>
          <t>Irrigation agricole:</t>
        </r>
        <r>
          <rPr>
            <sz val="8"/>
            <color indexed="81"/>
            <rFont val="Tahoma"/>
            <family val="2"/>
          </rPr>
          <t xml:space="preserve">
Arrosement artificiel du sol pour faciliter la croissance des cultures et des herbages.</t>
        </r>
      </text>
    </comment>
    <comment ref="D29" authorId="3" shapeId="0">
      <text>
        <r>
          <rPr>
            <sz val="8"/>
            <color indexed="81"/>
            <rFont val="Tahoma"/>
            <family val="2"/>
          </rPr>
          <t xml:space="preserve">(Eau douce utilisée par) les </t>
        </r>
        <r>
          <rPr>
            <b/>
            <sz val="8"/>
            <color indexed="81"/>
            <rFont val="Tahoma"/>
            <family val="2"/>
          </rPr>
          <t>activités de fabrication (CITI 10-33):</t>
        </r>
        <r>
          <rPr>
            <sz val="8"/>
            <color indexed="81"/>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30" authorId="3" shapeId="0">
      <text>
        <r>
          <rPr>
            <sz val="8"/>
            <color indexed="81"/>
            <rFont val="Tahoma"/>
            <family val="2"/>
          </rPr>
          <t>(Eau douce utilisée par)</t>
        </r>
        <r>
          <rPr>
            <b/>
            <sz val="8"/>
            <color indexed="81"/>
            <rFont val="Tahoma"/>
            <family val="2"/>
          </rPr>
          <t xml:space="preserve"> l’industrie électrique</t>
        </r>
        <r>
          <rPr>
            <sz val="8"/>
            <color indexed="81"/>
            <rFont val="Tahoma"/>
            <family val="2"/>
          </rPr>
          <t xml:space="preserve"> (CITI 351)</t>
        </r>
        <r>
          <rPr>
            <b/>
            <sz val="8"/>
            <color indexed="81"/>
            <rFont val="Tahoma"/>
            <family val="2"/>
          </rPr>
          <t>:</t>
        </r>
        <r>
          <rPr>
            <sz val="8"/>
            <color indexed="81"/>
            <rFont val="Tahoma"/>
            <family val="2"/>
          </rPr>
          <t xml:space="preserve">
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31" authorId="3" shapeId="0">
      <text>
        <r>
          <rPr>
            <sz val="8"/>
            <color indexed="81"/>
            <rFont val="Tahoma"/>
            <family val="2"/>
          </rPr>
          <t xml:space="preserve">(Eau douce utilisée par) les </t>
        </r>
        <r>
          <rPr>
            <b/>
            <sz val="8"/>
            <color indexed="81"/>
            <rFont val="Tahoma"/>
            <family val="2"/>
          </rPr>
          <t>autres activités économiques:</t>
        </r>
        <r>
          <rPr>
            <sz val="8"/>
            <color indexed="81"/>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shapeId="0">
      <text>
        <r>
          <rPr>
            <b/>
            <sz val="8"/>
            <color indexed="81"/>
            <rFont val="Tahoma"/>
            <family val="2"/>
          </rPr>
          <t xml:space="preserve">Quantité brute d’eau douce fournie par les services d’alimentation en eau (CITI 36):
</t>
        </r>
        <r>
          <rPr>
            <sz val="8"/>
            <color indexed="81"/>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9" authorId="1" shapeId="0">
      <text>
        <r>
          <rPr>
            <b/>
            <sz val="8"/>
            <color indexed="81"/>
            <rFont val="Tahoma"/>
            <family val="2"/>
          </rPr>
          <t>Pertes au cours du transport:</t>
        </r>
        <r>
          <rPr>
            <sz val="8"/>
            <color indexed="81"/>
            <rFont val="Tahoma"/>
            <family val="2"/>
          </rPr>
          <t xml:space="preserve">
Volume d’eau perdu pendant le transport entre le lieu de prélèvement et le lieu d’utilisation et entre le lieu d’utilisation et le lieu de réutilisation. Il comprend les pertes dues aux fuites et à l’évaporation.</t>
        </r>
      </text>
    </comment>
    <comment ref="D10" authorId="0" shapeId="0">
      <text>
        <r>
          <rPr>
            <b/>
            <sz val="8"/>
            <color indexed="81"/>
            <rFont val="Tahoma"/>
            <family val="2"/>
          </rPr>
          <t xml:space="preserve">Quantité nette d’eau douce fournie par les services d’alimentation en eau (CITI 36):
</t>
        </r>
        <r>
          <rPr>
            <sz val="8"/>
            <color indexed="81"/>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18" authorId="0" shapeId="0">
      <text>
        <r>
          <rPr>
            <b/>
            <sz val="8"/>
            <color indexed="81"/>
            <rFont val="Tahoma"/>
            <family val="2"/>
          </rPr>
          <t>Population totale desservie par les services d’alimentation en eau (CITI 36):</t>
        </r>
        <r>
          <rPr>
            <sz val="8"/>
            <color indexed="81"/>
            <rFont val="Tahoma"/>
            <family val="2"/>
          </rPr>
          <t xml:space="preserve">
Pourcentage de la population résidente totale utilisant de l’eau fournie par les services d’alimentation en eau (CITI 36). </t>
        </r>
      </text>
    </comment>
    <comment ref="D19" authorId="2" shapeId="0">
      <text>
        <r>
          <rPr>
            <b/>
            <sz val="8"/>
            <color indexed="81"/>
            <rFont val="Tahoma"/>
            <family val="2"/>
          </rPr>
          <t xml:space="preserve">Population urbaine desservie par les services d’alimentation en eau (CITI 36):
</t>
        </r>
        <r>
          <rPr>
            <sz val="8"/>
            <color indexed="81"/>
            <rFont val="Tahoma"/>
            <family val="2"/>
          </rPr>
          <t>Pourcentage de la population résidente urbaine utilisant de l’eau fournie par les services d’alimentation en eau (CITI 36).</t>
        </r>
      </text>
    </comment>
    <comment ref="D20" authorId="2" shapeId="0">
      <text>
        <r>
          <rPr>
            <b/>
            <sz val="8"/>
            <color indexed="81"/>
            <rFont val="Tahoma"/>
            <family val="2"/>
          </rPr>
          <t xml:space="preserve">Population rurale desservie par les services d’alimentation en eau (CITI 36):
</t>
        </r>
        <r>
          <rPr>
            <sz val="8"/>
            <color indexed="81"/>
            <rFont val="Tahoma"/>
            <family val="2"/>
          </rPr>
          <t>Pourcentage de la population résidente rurale utilisant de l’eau fournie par les services d’alimentation en eau (CITI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shapeId="0">
      <text>
        <r>
          <rPr>
            <b/>
            <sz val="8"/>
            <color indexed="81"/>
            <rFont val="Tahoma"/>
            <family val="2"/>
          </rPr>
          <t xml:space="preserve">Volume total d’eaux usées produites:
</t>
        </r>
        <r>
          <rPr>
            <sz val="8"/>
            <color indexed="81"/>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2" authorId="0" shapeId="0">
      <text>
        <r>
          <rPr>
            <sz val="8"/>
            <color indexed="81"/>
            <rFont val="Tahoma"/>
            <family val="2"/>
          </rPr>
          <t xml:space="preserve">(Eaux usées produites par) les </t>
        </r>
        <r>
          <rPr>
            <b/>
            <sz val="8"/>
            <color indexed="81"/>
            <rFont val="Tahoma"/>
            <family val="2"/>
          </rPr>
          <t>autres activités économiques</t>
        </r>
        <r>
          <rPr>
            <b/>
            <sz val="8"/>
            <color indexed="81"/>
            <rFont val="Tahoma"/>
            <family val="2"/>
          </rPr>
          <t xml:space="preserve">: 
</t>
        </r>
        <r>
          <rPr>
            <sz val="8"/>
            <color indexed="81"/>
            <rFont val="Tahoma"/>
            <family val="2"/>
          </rPr>
          <t>À l’exclusion des eaux usées produites par les activités relevant de la division 37 de la CITI (Réseau d’assainissement).</t>
        </r>
      </text>
    </comment>
    <comment ref="D14" authorId="1" shapeId="0">
      <text>
        <r>
          <rPr>
            <b/>
            <sz val="8"/>
            <color indexed="81"/>
            <rFont val="Tahoma"/>
            <family val="2"/>
          </rPr>
          <t>Traitement des eaux usées urbaines:</t>
        </r>
        <r>
          <rPr>
            <sz val="8"/>
            <color indexed="81"/>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15" authorId="1" shapeId="0">
      <text>
        <r>
          <rPr>
            <b/>
            <sz val="8"/>
            <color indexed="81"/>
            <rFont val="Tahoma"/>
            <family val="2"/>
          </rPr>
          <t>Traitement primaire des eaux usées:</t>
        </r>
        <r>
          <rPr>
            <sz val="8"/>
            <color indexed="81"/>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6" authorId="1" shapeId="0">
      <text>
        <r>
          <rPr>
            <b/>
            <sz val="8"/>
            <color indexed="81"/>
            <rFont val="Tahoma"/>
            <family val="2"/>
          </rPr>
          <t>Traitement secondaire des eaux usées:</t>
        </r>
        <r>
          <rPr>
            <sz val="8"/>
            <color indexed="81"/>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17" authorId="1" shapeId="0">
      <text>
        <r>
          <rPr>
            <b/>
            <sz val="8"/>
            <color indexed="81"/>
            <rFont val="Tahoma"/>
            <family val="2"/>
          </rPr>
          <t xml:space="preserve">Traitement tertiaire des eaux usées:
</t>
        </r>
        <r>
          <rPr>
            <sz val="8"/>
            <color indexed="81"/>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18" authorId="1" shapeId="0">
      <text>
        <r>
          <rPr>
            <b/>
            <sz val="8"/>
            <color indexed="81"/>
            <rFont val="Tahoma"/>
            <family val="2"/>
          </rPr>
          <t>Autre traitement des eaux usées:</t>
        </r>
        <r>
          <rPr>
            <sz val="8"/>
            <color indexed="81"/>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9" authorId="1" shapeId="0">
      <text>
        <r>
          <rPr>
            <b/>
            <sz val="8"/>
            <color indexed="81"/>
            <rFont val="Tahoma"/>
            <family val="2"/>
          </rPr>
          <t xml:space="preserve">Traitement primaire des eaux usées:
</t>
        </r>
        <r>
          <rPr>
            <sz val="8"/>
            <color indexed="81"/>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shapeId="0">
      <text>
        <r>
          <rPr>
            <b/>
            <sz val="8"/>
            <color indexed="81"/>
            <rFont val="Tahoma"/>
            <family val="2"/>
          </rPr>
          <t xml:space="preserve">Traitement secondaire des eaux usées:
</t>
        </r>
        <r>
          <rPr>
            <sz val="8"/>
            <color indexed="81"/>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shapeId="0">
      <text>
        <r>
          <rPr>
            <b/>
            <sz val="8"/>
            <color indexed="81"/>
            <rFont val="Tahoma"/>
            <family val="2"/>
          </rPr>
          <t xml:space="preserve">Traitement tertiaire des eaux usées:
</t>
        </r>
        <r>
          <rPr>
            <sz val="8"/>
            <color indexed="81"/>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color indexed="81"/>
            <rFont val="Tahoma"/>
            <family val="2"/>
          </rPr>
          <t xml:space="preserve">
</t>
        </r>
      </text>
    </comment>
    <comment ref="D22" authorId="1" shapeId="0">
      <text>
        <r>
          <rPr>
            <b/>
            <sz val="8"/>
            <color indexed="81"/>
            <rFont val="Tahoma"/>
            <family val="2"/>
          </rPr>
          <t>Traitement indépendant des eaux usées:</t>
        </r>
        <r>
          <rPr>
            <sz val="8"/>
            <color indexed="81"/>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4" authorId="2" shapeId="0">
      <text>
        <r>
          <rPr>
            <b/>
            <sz val="8"/>
            <color indexed="81"/>
            <rFont val="Tahoma"/>
            <family val="2"/>
          </rPr>
          <t>Production de boues de décantation des eaux usées (matière sèche):</t>
        </r>
        <r>
          <rPr>
            <sz val="8"/>
            <color indexed="81"/>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List>
</comments>
</file>

<file path=xl/comments5.xml><?xml version="1.0" encoding="utf-8"?>
<comments xmlns="http://schemas.openxmlformats.org/spreadsheetml/2006/main">
  <authors>
    <author>User.Stat3</author>
  </authors>
  <commentList>
    <comment ref="D8" authorId="0" shapeId="0">
      <text>
        <r>
          <rPr>
            <b/>
            <sz val="8"/>
            <color indexed="81"/>
            <rFont val="Tahoma"/>
            <family val="2"/>
          </rPr>
          <t>Population raccordée à un système de collecte des eaux usées:</t>
        </r>
        <r>
          <rPr>
            <sz val="8"/>
            <color indexed="81"/>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shapeId="0">
      <text>
        <r>
          <rPr>
            <b/>
            <sz val="8"/>
            <color indexed="81"/>
            <rFont val="Tahoma"/>
            <family val="2"/>
          </rPr>
          <t>Population raccordée à un système de traitement des eaux usées:</t>
        </r>
        <r>
          <rPr>
            <sz val="8"/>
            <color indexed="81"/>
            <rFont val="Tahoma"/>
            <family val="2"/>
          </rPr>
          <t xml:space="preserve">
Pourcentage de la population résidente dont les eaux usées sont traitées dans une station d’épuration des eaux usées.</t>
        </r>
      </text>
    </comment>
    <comment ref="D11" authorId="0" shapeId="0">
      <text>
        <r>
          <rPr>
            <b/>
            <sz val="8"/>
            <color indexed="81"/>
            <rFont val="Tahoma"/>
            <family val="2"/>
          </rPr>
          <t xml:space="preserve">Population dotée de moyens d’épuration des eaux usées indépendants (par exemple les fosses septiques):
</t>
        </r>
        <r>
          <rPr>
            <sz val="8"/>
            <color indexed="81"/>
            <rFont val="Tahoma"/>
            <family val="2"/>
          </rPr>
          <t>Pourcentage de la population résidente dont les eaux usées sont traitées dans des installations individuelles, souvent privées, telles que les fosses septiques.</t>
        </r>
      </text>
    </comment>
    <comment ref="D12" authorId="0" shapeId="0">
      <text>
        <r>
          <rPr>
            <b/>
            <sz val="8"/>
            <color indexed="81"/>
            <rFont val="Tahoma"/>
            <family val="2"/>
          </rPr>
          <t>Population non raccordée à un système de traitement des eaux usées:</t>
        </r>
        <r>
          <rPr>
            <sz val="8"/>
            <color indexed="81"/>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<sst xmlns="http://schemas.openxmlformats.org/spreadsheetml/2006/main" count="1515" uniqueCount="667">
  <si>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</si>
  <si>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</si>
  <si>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</si>
  <si>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</si>
  <si>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</si>
  <si>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</si>
  <si>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</si>
  <si>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</si>
  <si>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</si>
  <si>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</si>
  <si>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</si>
  <si>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</si>
  <si>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</si>
  <si>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</si>
  <si>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</si>
  <si>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</si>
  <si>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</si>
  <si>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</si>
  <si>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</si>
  <si>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</si>
  <si>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</si>
  <si>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</si>
  <si>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</si>
  <si>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</si>
  <si>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</si>
  <si>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</si>
  <si>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</si>
  <si>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</si>
  <si>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</si>
  <si>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</si>
  <si>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</si>
  <si>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</si>
  <si>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</si>
  <si>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</si>
  <si>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</si>
  <si>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</si>
  <si>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</si>
  <si>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</si>
  <si>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</si>
  <si>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</si>
  <si>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</si>
  <si>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</si>
  <si>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</si>
  <si>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</si>
  <si>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</si>
  <si>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</si>
  <si>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</si>
  <si>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</si>
  <si>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</si>
  <si>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</si>
  <si>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</si>
  <si>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</si>
  <si>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</si>
  <si>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</si>
  <si>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</si>
  <si>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</si>
  <si>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</si>
  <si>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</si>
  <si>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</si>
  <si>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</si>
  <si>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</si>
  <si>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</si>
  <si>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</si>
  <si>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</si>
  <si>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</si>
  <si>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</si>
  <si>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</si>
  <si>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</si>
  <si>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</si>
  <si>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</si>
  <si>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</si>
  <si>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</si>
  <si>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</si>
  <si>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</si>
  <si>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</si>
  <si>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</si>
  <si>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</si>
  <si>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</si>
  <si>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</si>
  <si>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</si>
  <si>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</si>
  <si>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</si>
  <si>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</si>
  <si>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</si>
  <si>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</si>
  <si>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</si>
  <si>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</si>
  <si>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</si>
  <si>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</si>
  <si>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</si>
  <si>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</si>
  <si>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</si>
  <si>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</si>
  <si>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</si>
  <si>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</si>
  <si>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</si>
  <si>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</si>
  <si>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</si>
  <si>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</si>
  <si>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</si>
  <si>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</si>
  <si>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</si>
  <si>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</si>
  <si>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</si>
  <si>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</si>
  <si>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</si>
  <si>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</si>
  <si>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</si>
  <si>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</si>
  <si>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</si>
  <si>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</si>
  <si>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</si>
  <si>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</si>
  <si>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</si>
  <si>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</si>
  <si>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</si>
  <si>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</si>
  <si>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</si>
  <si>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</si>
  <si>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</si>
  <si>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</si>
  <si>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</si>
  <si>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</si>
  <si>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</si>
  <si>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</si>
  <si>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Total freshwater available for use (=3+10+11+12-13)</t>
  </si>
  <si>
    <t>Total freshwater use (=14-15)</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</si>
  <si>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</si>
  <si>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</si>
  <si>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</si>
  <si>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</si>
  <si>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</si>
  <si>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</si>
  <si>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</si>
  <si>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</si>
  <si>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</si>
  <si>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</si>
  <si>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</si>
  <si>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</si>
  <si>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</si>
  <si>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</si>
  <si>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</si>
  <si>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</si>
  <si>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</si>
  <si>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</si>
  <si>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</si>
  <si>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</si>
  <si>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</si>
  <si>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</si>
  <si>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</si>
  <si>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</si>
  <si>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</si>
  <si>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</si>
  <si>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</si>
  <si>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</si>
  <si>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</si>
  <si>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</si>
  <si>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</si>
  <si>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</si>
  <si>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</si>
  <si>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</si>
  <si>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</si>
  <si>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</si>
  <si>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</si>
  <si>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</si>
  <si>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</si>
  <si>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</si>
  <si>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</si>
  <si>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</si>
  <si>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</si>
  <si>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</si>
  <si>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</si>
  <si>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Définitions</t>
  </si>
  <si>
    <t>Ressources renouvelables en 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</si>
  <si>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</si>
  <si>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</si>
  <si>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 xml:space="preserve">La Division de statistique a mis au point des diagrammes permettant de montrer les relations entre les variables des tableaux W1, W2 et W3. Un nouveau diagramme pour le tableau W4 a par ailleurs été mis au point. Les personnes répondant au questionnaire sont encouragées à utiliser ces diagrammes, de manière à préciser les concepts sur lesquels reposent les données qui y sont demandées. </t>
  </si>
  <si>
    <t>MARCHE À SUIVRE</t>
  </si>
  <si>
    <t>Indiquer en haut de chaque tableau l’institution à contacter.</t>
  </si>
  <si>
    <t>Les tableaux sont préremplis au moyen des données communiquées dans les questionnaires précédents de la Division de statistique et du PNUE. Vérifier les données préremplies et dans la mesure du possible, les mettre à jour dans les tableaux. Vérifier les notes préremplies et les rectifier si nécessaire.</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</si>
  <si>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</si>
  <si>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</si>
  <si>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</si>
  <si>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</si>
  <si>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</si>
  <si>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</si>
  <si>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</si>
  <si>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</si>
  <si>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</si>
  <si>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</si>
  <si>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</si>
  <si>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</si>
  <si>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</si>
  <si>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</si>
  <si>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</si>
  <si>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</si>
  <si>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</si>
  <si>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</si>
  <si>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</si>
  <si>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</si>
  <si>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</si>
  <si>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</si>
  <si>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</si>
  <si>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</si>
  <si>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</si>
  <si>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</si>
  <si>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</si>
  <si>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</si>
  <si>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Industrie électrique</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</si>
  <si>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</si>
  <si>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</si>
  <si>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</si>
  <si>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</si>
  <si>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</si>
  <si>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</si>
  <si>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</si>
  <si>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</si>
  <si>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</si>
  <si>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</si>
  <si>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</si>
  <si>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</si>
  <si>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</si>
  <si>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</si>
  <si>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</si>
  <si>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</si>
  <si>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</si>
  <si>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</si>
  <si>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</si>
  <si>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</si>
  <si>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</si>
  <si>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</si>
  <si>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</si>
  <si>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On peut se procurer le fichier correspondant au présent questionnaire à l’adresse suivante : http://unstats.un.org/unsd/environment/. Les données issues des collectes de données précédentes sont accessibles à l’adresse suivante : http://unstats.un.org/unsd/environment/datacollect.htm.</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</si>
  <si>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</si>
  <si>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</si>
  <si>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Production, transport et distribution d’électricité.</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</si>
  <si>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</si>
  <si>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</si>
  <si>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</si>
  <si>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</si>
  <si>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</si>
  <si>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r>
      <t>(Volume d’eau douce prélevé par)</t>
    </r>
    <r>
      <rPr>
        <b/>
        <sz val="10"/>
        <rFont val="Arial"/>
        <family val="2"/>
      </rPr>
      <t xml:space="preserve"> les ménages</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</si>
  <si>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</si>
  <si>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</si>
  <si>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</si>
  <si>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</si>
  <si>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</si>
  <si>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</si>
  <si>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</si>
  <si>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</si>
  <si>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</si>
  <si>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</si>
  <si>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r>
      <t xml:space="preserve"> </t>
    </r>
    <r>
      <rPr>
        <sz val="10"/>
        <rFont val="Arial"/>
        <family val="2"/>
      </rPr>
      <t>= Volume de l’eau douce prélevée + eau dessalée + eau réutilisée + eau importée - eau exportée.</t>
    </r>
  </si>
  <si>
    <t>Pertes au cours du transport</t>
  </si>
  <si>
    <t>Volume d’eau perdu pendant le transport entre le lieu de prélèvement et le lieu d’utilisation et entre le lieu d’utilisation et le lieu de réutilisation. Il comprend les pertes dues aux fuites et à l’évaporation.</t>
  </si>
  <si>
    <t>Quantité totale d’eau douce utilisée</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</si>
  <si>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</si>
  <si>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</si>
  <si>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</si>
  <si>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</si>
  <si>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</si>
  <si>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</si>
  <si>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</si>
  <si>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</si>
  <si>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</si>
  <si>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</si>
  <si>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</si>
  <si>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</si>
  <si>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</si>
  <si>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</si>
  <si>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</si>
  <si>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</si>
  <si>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</si>
  <si>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</si>
  <si>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</si>
  <si>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</si>
  <si>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</si>
  <si>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</si>
  <si>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</si>
  <si>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</si>
  <si>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</si>
  <si>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</si>
  <si>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</si>
  <si>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</si>
  <si>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</si>
  <si>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</si>
  <si>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</si>
  <si>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</si>
  <si>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</si>
  <si>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</si>
  <si>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</si>
  <si>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</si>
  <si>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</si>
  <si>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</si>
  <si>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</si>
  <si>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</si>
  <si>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</si>
  <si>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</si>
  <si>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 Choisir « Afficher » pour voir/rectifier les données des années précédentes</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</si>
  <si>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</si>
  <si>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</si>
  <si>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</si>
  <si>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</si>
  <si>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</si>
  <si>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</si>
  <si>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</si>
  <si>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</si>
  <si>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</si>
  <si>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</si>
  <si>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</si>
  <si>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</si>
  <si>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</si>
  <si>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du volume d’eau prélevé de masses d’eau (cours d’eau, lacs, eaux souterraines, etc.) par différents agents; du volume d’eau disponible à partir d’autres sources; du volume d’eau utilisé par les différents utilisateurs finaux.</t>
  </si>
  <si>
    <r>
      <t xml:space="preserve">L’eau servant à la production hydroélectrique est à </t>
    </r>
    <r>
      <rPr>
        <b/>
        <sz val="8"/>
        <rFont val="Arial"/>
        <family val="2"/>
      </rPr>
      <t xml:space="preserve">exclure </t>
    </r>
    <r>
      <rPr>
        <sz val="8"/>
        <rFont val="Arial"/>
        <family val="2"/>
      </rPr>
      <t>de la rubrique « Industrie électrique ».</t>
    </r>
  </si>
  <si>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</si>
  <si>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</si>
  <si>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</si>
  <si>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</si>
  <si>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</si>
  <si>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</si>
  <si>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</si>
  <si>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</si>
  <si>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    Autres activités économiques </t>
  </si>
  <si>
    <t xml:space="preserve">Pays : </t>
  </si>
  <si>
    <t>• Choisir « afficher » pour voir/rectifier les données des années précédentes</t>
  </si>
  <si>
    <t xml:space="preserve">    Industrie électrique (division 351 de la CITI)</t>
  </si>
  <si>
    <t>Services d’alimentation en eau (division 36 de la CITI)</t>
  </si>
  <si>
    <t>Agriculture, sylviculture et pêche (divisions 1 à 3 de la CITI)</t>
  </si>
  <si>
    <t>Industrie électrique (division 351 de la CITI)</t>
  </si>
  <si>
    <t>Agriculture, sylviculture et pêche (division 1 à 3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</si>
  <si>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</si>
  <si>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</si>
  <si>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</si>
  <si>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</si>
  <si>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</si>
  <si>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</si>
  <si>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</si>
  <si>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</si>
  <si>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</si>
  <si>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</si>
  <si>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</si>
  <si>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</si>
  <si>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</si>
  <si>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</si>
  <si>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</si>
  <si>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</si>
  <si>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</si>
  <si>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(Volume d’eau douce prélevé par) </t>
    </r>
    <r>
      <rPr>
        <b/>
        <sz val="10"/>
        <rFont val="Arial"/>
        <family val="2"/>
      </rPr>
      <t>l’industrie électrique (CITI 351)</t>
    </r>
  </si>
  <si>
    <t>Activités de fabrication (division 10 à 33 de la CITI)</t>
  </si>
  <si>
    <r>
      <t xml:space="preserve">(Eau douce utilisée par) </t>
    </r>
    <r>
      <rPr>
        <b/>
        <sz val="10"/>
        <rFont val="Arial"/>
        <family val="2"/>
      </rPr>
      <t>l’agriculture, la sylviculture et la pêche (CITI 01-03)</t>
    </r>
  </si>
  <si>
    <r>
      <t xml:space="preserve">(Eau douce utilisée par) les </t>
    </r>
    <r>
      <rPr>
        <b/>
        <sz val="10"/>
        <rFont val="Arial"/>
        <family val="2"/>
      </rPr>
      <t>activités de fabrication</t>
    </r>
    <r>
      <rPr>
        <sz val="10"/>
        <rFont val="Arial"/>
        <family val="2"/>
      </rPr>
      <t xml:space="preserve"> (CITI 10-33)</t>
    </r>
  </si>
  <si>
    <r>
      <t xml:space="preserve">(Eau douce utilisée par) </t>
    </r>
    <r>
      <rPr>
        <b/>
        <sz val="10"/>
        <rFont val="Arial"/>
        <family val="2"/>
      </rPr>
      <t>l’industrie électrique</t>
    </r>
    <r>
      <rPr>
        <sz val="10"/>
        <rFont val="Arial"/>
        <family val="2"/>
      </rPr>
      <t xml:space="preserve"> (CITI 351)</t>
    </r>
  </si>
  <si>
    <t xml:space="preserve">   Activités de fabrication  (divisions 10 à 33 de la CITI)</t>
  </si>
  <si>
    <t>Quantité nette d’eau douce fournie par les services d’alimentation en eau (CITI 36) (=1-2) (=4+5+6+7+8)</t>
  </si>
  <si>
    <t>Pertes au cours du transport par CITI 36</t>
  </si>
  <si>
    <t>Activités de fabrication (divisions 10 à 33 de la CITI)</t>
  </si>
  <si>
    <t>par :
        Agriculture, sylviculture et pêche
        (division 1 à 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</si>
  <si>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</si>
  <si>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</si>
  <si>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</si>
  <si>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</si>
  <si>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</si>
  <si>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</si>
  <si>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</si>
  <si>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</si>
  <si>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</si>
  <si>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</si>
  <si>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</si>
  <si>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</si>
  <si>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</si>
  <si>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</si>
  <si>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</si>
  <si>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</si>
  <si>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W4, 7</t>
  </si>
  <si>
    <t>W4, 11</t>
  </si>
  <si>
    <t>W4, 8 &amp; W4, 12</t>
  </si>
  <si>
    <t>W4, 9 &amp; W4, 13</t>
  </si>
  <si>
    <t>W4, 10 &amp; W4, 14</t>
  </si>
  <si>
    <t>W4, 15</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</si>
  <si>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</si>
  <si>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</si>
  <si>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</si>
  <si>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</si>
  <si>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</si>
  <si>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</si>
  <si>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</si>
  <si>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</si>
  <si>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</si>
  <si>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</si>
  <si>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</si>
  <si>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</si>
  <si>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</si>
  <si>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</si>
  <si>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</si>
  <si>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</si>
  <si>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</si>
  <si>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</si>
  <si>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</si>
  <si>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</si>
  <si>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Population supplied by water supply industry (ISIC 36)</t>
  </si>
  <si>
    <t>Agriculture, forestry and fishing  (ISIC 01-03)</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</si>
  <si>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</si>
  <si>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</si>
  <si>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</si>
  <si>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</si>
  <si>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</si>
  <si>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</si>
  <si>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</si>
  <si>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</si>
  <si>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</si>
  <si>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</si>
  <si>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</si>
  <si>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</si>
  <si>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</si>
  <si>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</si>
  <si>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</si>
  <si>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</si>
  <si>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</si>
  <si>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</si>
  <si>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</si>
  <si>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</si>
  <si>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</si>
  <si>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</si>
  <si>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</si>
  <si>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t>Inflow of surface and groundwaters</t>
  </si>
  <si>
    <t>W1, 1</t>
  </si>
  <si>
    <t>W1, 2</t>
  </si>
  <si>
    <t>W1, 3</t>
  </si>
  <si>
    <t>W1, 4</t>
  </si>
  <si>
    <t>W1, 5</t>
  </si>
  <si>
    <t>W1, 6</t>
  </si>
  <si>
    <t>W2, 2</t>
  </si>
  <si>
    <t>Sewage sludge production (dry matter)</t>
  </si>
  <si>
    <t>W2, 9</t>
  </si>
  <si>
    <t>W2, 22</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</si>
  <si>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</si>
  <si>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</si>
  <si>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</si>
  <si>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</si>
  <si>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</si>
  <si>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11=30</t>
  </si>
  <si>
    <t>Line 21=31</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</si>
  <si>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</si>
  <si>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</si>
  <si>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</si>
  <si>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</si>
  <si>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</si>
  <si>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</si>
  <si>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</si>
  <si>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</si>
  <si>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</si>
  <si>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</si>
  <si>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</si>
  <si>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</si>
  <si>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</si>
  <si>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</si>
  <si>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</si>
  <si>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</si>
  <si>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</si>
  <si>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</si>
  <si>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</si>
  <si>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</si>
  <si>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</si>
  <si>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</si>
  <si>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Line 4+5+6+7+8+9</t>
  </si>
  <si>
    <t>Line 14-15</t>
  </si>
  <si>
    <t>Line 4+5+6+7+8</t>
  </si>
  <si>
    <t xml:space="preserve">Precipitation                              </t>
  </si>
  <si>
    <t>mio m3/y</t>
  </si>
  <si>
    <t>W2</t>
  </si>
  <si>
    <t>DATA VALIDATION</t>
  </si>
  <si>
    <t>-</t>
  </si>
  <si>
    <t>Outflow of surface and groundwaters to the sea</t>
  </si>
  <si>
    <t>Exports of water</t>
  </si>
  <si>
    <t>Total wastewater generated</t>
  </si>
  <si>
    <t>Primary treatment</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</si>
  <si>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</si>
  <si>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</si>
  <si>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</si>
  <si>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</si>
  <si>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</si>
  <si>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</si>
  <si>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</si>
  <si>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</si>
  <si>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</si>
  <si>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</si>
  <si>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</si>
  <si>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</si>
  <si>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</si>
  <si>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</si>
  <si>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</si>
  <si>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</si>
  <si>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</si>
  <si>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Electricity industry (ISIC 351)</t>
  </si>
  <si>
    <t>√</t>
  </si>
  <si>
    <t>Freshwater abstracted 
(=4+5+6+7+8+9)</t>
  </si>
  <si>
    <r>
      <t>D</t>
    </r>
    <r>
      <rPr>
        <b/>
        <sz val="10"/>
        <rFont val="Arial"/>
        <family val="2"/>
      </rPr>
      <t xml:space="preserve">  351</t>
    </r>
  </si>
  <si>
    <t>W2, 18</t>
  </si>
  <si>
    <t>W2, 20</t>
  </si>
  <si>
    <t>W2, 21</t>
  </si>
  <si>
    <t>Line 11=21</t>
  </si>
  <si>
    <t xml:space="preserve">    Agriculture, forestry and fishing (ISIC 01-03)</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</si>
  <si>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</si>
  <si>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</si>
  <si>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</si>
  <si>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</si>
  <si>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</si>
  <si>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</si>
  <si>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</si>
  <si>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</si>
  <si>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Volume d’eau douce prélevé</t>
  </si>
  <si>
    <t>Importations d’eau</t>
  </si>
  <si>
    <t>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</si>
  <si>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</si>
  <si>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</si>
  <si>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</si>
  <si>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</si>
  <si>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</si>
  <si>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</si>
  <si>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</si>
  <si>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</si>
  <si>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La collecte de données, qui a lieu tous les deux ans, est une action conjointe de la Division de statistique de l’ONU et du Programme des Nations Unies pour l’environnement (PNUE) qui vise à enrichir la base de données internationale des statistiques de l’environnement de la Division. La Division de statistique analysera et consolidera ces données qui seront utilisées au niveau international et mises à la disposition des usagers sur le site de l’UNSD.</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</si>
  <si>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</si>
  <si>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</si>
  <si>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 xml:space="preserve">La base de données Aquastat de l’Organisation des Nations Unies pour l’alimentation et l’agriculture (FAO), disponible en ligne à l’adresse suivante : http://www.fao.org/ag/agl/aglw/aquastat/water_res/waterres_tab.htm, est une référence utile pour comparer les données sur les ressources en eau. </t>
  </si>
  <si>
    <t>Une section comprenant deux types de tableaux de validation : validation des séries chronologiques et validation de cohérence est ajoutée à chaque tableau afin d’aider tant le pays que la Division de statistique à valider les données communiquées.</t>
  </si>
  <si>
    <t xml:space="preserve">Par la poste : UN Statistics Division, Environment Statistics Section,  DC2-1416, 2 United Nations Plaza, New York, New York, 10017, USA </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</si>
  <si>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</si>
  <si>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</si>
  <si>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</si>
  <si>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r>
      <t xml:space="preserve">L’assainissement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</si>
  <si>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r>
      <t xml:space="preserve">La 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</si>
  <si>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</si>
  <si>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</si>
  <si>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</si>
  <si>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</si>
  <si>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</si>
  <si>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Choisir « afficher » pour voir/rectifier les données des années précédentes.</t>
  </si>
  <si>
    <t>Quantité totale d’eau douce disponible et utilisable (=3+10+11+12-13)</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</si>
  <si>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</si>
  <si>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</si>
  <si>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</si>
  <si>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Agriculture, sylviculture et pêche (division 1 
à 3 de la CITI)</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</si>
  <si>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</si>
  <si>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</si>
  <si>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</si>
  <si>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</si>
  <si>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Volume d’eau douce prélevé (=1+2)</t>
  </si>
  <si>
    <t>Quantité totale d’eau douce utilisée (=14-15)</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</si>
  <si>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</si>
  <si>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</si>
  <si>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</si>
  <si>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</si>
  <si>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Agriculture, forestry and fishing ISIC (01-03)</t>
  </si>
  <si>
    <t>Inflow of surface and groundwaters from neighbouring countries</t>
  </si>
  <si>
    <t xml:space="preserve">W3, 9
</t>
  </si>
  <si>
    <t>W3, 10</t>
  </si>
  <si>
    <t>W3, 11</t>
  </si>
  <si>
    <t>W2, 4</t>
  </si>
  <si>
    <t>W2, 8</t>
  </si>
  <si>
    <t>Line 10=3</t>
  </si>
  <si>
    <t>Line 11=5</t>
  </si>
  <si>
    <t>Line 1-12</t>
  </si>
  <si>
    <t>Line 3-13</t>
  </si>
  <si>
    <t>Line 4-14</t>
  </si>
  <si>
    <t>Line 5-15</t>
  </si>
  <si>
    <t>Line 1+2</t>
  </si>
  <si>
    <t>Line 3=23</t>
  </si>
  <si>
    <t>Line 3+10+11+12-13</t>
  </si>
  <si>
    <t>Line 14=24</t>
  </si>
  <si>
    <t>W2, 10</t>
  </si>
  <si>
    <t xml:space="preserve">W2, 11
</t>
  </si>
  <si>
    <t>W2, 12</t>
  </si>
  <si>
    <t xml:space="preserve">W2, 13
</t>
  </si>
  <si>
    <t xml:space="preserve">W2, 14
</t>
  </si>
  <si>
    <t xml:space="preserve">W2, 15 &amp; W3, 2
</t>
  </si>
  <si>
    <t xml:space="preserve">W2, 16
</t>
  </si>
  <si>
    <t xml:space="preserve">W2, 17
</t>
  </si>
  <si>
    <t>W2, 19</t>
  </si>
  <si>
    <t>W3, 1</t>
  </si>
  <si>
    <t xml:space="preserve">W3, 3
</t>
  </si>
  <si>
    <t>W5, 1</t>
  </si>
  <si>
    <t>W5, 2</t>
  </si>
  <si>
    <t>W5, 4</t>
  </si>
  <si>
    <t>W5, 5</t>
  </si>
  <si>
    <t xml:space="preserve">W4, 1
</t>
  </si>
  <si>
    <t>Line 18=2+3+4+5+6</t>
  </si>
  <si>
    <t>Line 1=18</t>
  </si>
  <si>
    <t>Line 19=7+11+15+16</t>
  </si>
  <si>
    <t>Line 1=19</t>
  </si>
  <si>
    <t>Line 20=8+9+10</t>
  </si>
  <si>
    <t>Line 7=20</t>
  </si>
  <si>
    <t>Line 21=12+13+14</t>
  </si>
  <si>
    <t>W4, 17</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</si>
  <si>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</si>
  <si>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</si>
  <si>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</si>
  <si>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</si>
  <si>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W2, 7</t>
  </si>
  <si>
    <t>Desalinated water</t>
  </si>
  <si>
    <t>Line</t>
  </si>
  <si>
    <t>Category</t>
  </si>
  <si>
    <t xml:space="preserve">Notes : </t>
  </si>
  <si>
    <t>Unit</t>
  </si>
  <si>
    <t>Code</t>
  </si>
  <si>
    <t>Dont utilisés 
par</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</si>
  <si>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</si>
  <si>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</si>
  <si>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</si>
  <si>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</si>
  <si>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</si>
  <si>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</si>
  <si>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http://unstats.un.org/unsd/publication/SeriesM/seriesm_4rev4f.pdf.</t>
  </si>
  <si>
    <t>Moyenne
annuelle 
à long terme</t>
  </si>
  <si>
    <t>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t>
  </si>
  <si>
    <t xml:space="preserve">Prière de noter que les données des années 1995 et 1999-2003 sont également visibles et peuvent être rectifiées : mettre en surbrillance les colonnes indiquées sous chaque tableau, cliquer sur le bouton droit de la souris et choisir « Afficher ». </t>
  </si>
  <si>
    <t>Par téléphone : Par téléphone : Reena Shah au +1 212 963 4586, ou Marcus Newbury au +1 212 963 0092, ou David Rausis au +1 917 367 5892, ou Robin Carrington au +1 212 963 6234.</t>
  </si>
  <si>
    <t>Cabo Verde</t>
  </si>
  <si>
    <t>Faroe Islands</t>
  </si>
  <si>
    <t>Holy See</t>
  </si>
  <si>
    <t>Niue</t>
  </si>
  <si>
    <t>State of Palestine</t>
  </si>
  <si>
    <t>South Sudan</t>
  </si>
  <si>
    <t>Sudan</t>
  </si>
  <si>
    <t>Tokelau</t>
  </si>
  <si>
    <t>..</t>
  </si>
  <si>
    <t>Les données des années 1995-2003 sont également visibles et peuvent être rectifiées : mettre en surbrillance les colonnes G à Z, cliquer sur le bouton droit de la souris et choisir « Afficher ».</t>
  </si>
  <si>
    <t>Les données des années 1995-2003 sont également visibles et peuvent être rectifiées : mettre en surbrillance les colonnes I à AB, cliquer sur le bouton droit de la souris et choisir « Afficher ».</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</si>
  <si>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</si>
  <si>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</si>
  <si>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</si>
  <si>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 xml:space="preserve">        of which for irrigation in agriculture</t>
  </si>
  <si>
    <t>1000 m3/d</t>
  </si>
  <si>
    <t>of which at least secondary treatment</t>
  </si>
  <si>
    <t>A</t>
  </si>
  <si>
    <t>B</t>
  </si>
  <si>
    <t>Consommation d’eau potable en milieu urbain.</t>
  </si>
  <si>
    <t>* pour le 9-10-11 :ce taux est égal à la part des ménages branchés au REP plus ceux non branchés mais puisant dans des bornes fontaines</t>
  </si>
  <si>
    <t>Ministère Délégué chargé de l'Eau</t>
  </si>
  <si>
    <t>BC</t>
  </si>
  <si>
    <t>C</t>
  </si>
  <si>
    <t>Données collectées auprés de la Direction des Programme des Réalisations/ Ministère délégué chargé de l'Environnement.</t>
  </si>
  <si>
    <t>Les prélévements en eau douce de surface représentent, selon la définition de la Direction Générale de l'Hydraulique ( Ministère chargé de l'Eau), les volumes mobilisés selon chaque type de ressource.</t>
  </si>
  <si>
    <t>Il s'agit de la consommation en milieu urbain, géré par l'Office National de l'Eau et de l'Electricité (ONEE- Branche Eau).</t>
  </si>
  <si>
    <r>
      <t xml:space="preserve">Données : </t>
    </r>
    <r>
      <rPr>
        <b/>
        <sz val="10"/>
        <rFont val="Arial"/>
        <family val="2"/>
      </rPr>
      <t>Ministère de l'Agriculture et de la Pêche Maritime</t>
    </r>
    <r>
      <rPr>
        <sz val="10"/>
        <rFont val="Arial"/>
        <family val="2"/>
      </rPr>
      <t xml:space="preserve">
Volumes d'eau fournis aux périmètres irrigués:
Trois types de périmètres: grande hydraulique, petite et moyennne hydraulique et Irrigation Privée,
Méthode d'estimation:
- Dans les périmètres de grandes hydraulique: les volumes d'eau fournis sont issus des statistiques des fournitures enregistrées en tête des périmètres irrigués;
- Dans les périmètres de petite et moyenne hydraulique et l'irrigation privée: les consomations d'eau sont estimées.</t>
    </r>
  </si>
  <si>
    <t>Données : Haut-Commissariat au Plan.</t>
  </si>
  <si>
    <t>Haut Commissariat au Plan et Ministère de l'Agriculture et de la Pêche Maritime</t>
  </si>
  <si>
    <t xml:space="preserve"> UNSD</t>
  </si>
  <si>
    <t>La Division de statistique de l'ONU (UNSD) et le Programme des Nations Unies pour l'Environnement (PNUE)</t>
  </si>
  <si>
    <t>QUESTIONNAIRE 2016 SUR LES STATISTIQUES DE L’ENVIRONNEMENT</t>
  </si>
  <si>
    <t>TABLE DES MATIÈRES</t>
  </si>
  <si>
    <t>Recommandations</t>
  </si>
  <si>
    <t>Introduction, marche à suivre, description des tableaux et table de conversion</t>
  </si>
  <si>
    <t>Liste des définitions</t>
  </si>
  <si>
    <t>Tableau W1</t>
  </si>
  <si>
    <t>Tableau W2</t>
  </si>
  <si>
    <t>Prélèvements et utilisation d'eau douce</t>
  </si>
  <si>
    <t>W3</t>
  </si>
  <si>
    <t>Tableau W3</t>
  </si>
  <si>
    <t>Services d’alimentation en eau (CITI 36)</t>
  </si>
  <si>
    <t>Tableau W4</t>
  </si>
  <si>
    <t>Production et traitement des eaux usées</t>
  </si>
  <si>
    <t>W5</t>
  </si>
  <si>
    <t>Tableau W5</t>
  </si>
  <si>
    <t>W4</t>
  </si>
  <si>
    <t>Tableau W6</t>
  </si>
  <si>
    <t>Fiche d’informations complémentaires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</si>
</sst>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4" x14ac:knownFonts="1">
    <font>
      <sz val="10"/>
      <name val="Times New Roman"/>
    </font>
    <font>
      <sz val="10"/>
      <name val="Times New Roman"/>
    </font>
    <font>
      <b/>
      <u/>
      <sz val="10"/>
      <name val="Arial"/>
      <family val="2"/>
    </font>
    <font>
      <sz val="10"/>
      <name val="Arial"/>
      <family val="2"/>
    </font>
    <font>
      <b/>
      <sz val="10"/>
      <name val="Arial"/>
      <family val="2"/>
    </font>
    <font>
      <b/>
      <sz val="12"/>
      <name val="Arial"/>
      <family val="2"/>
    </font>
    <font>
      <b/>
      <sz val="8"/>
      <name val="Arial"/>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vertAlign val="subscript"/>
      <sz val="10"/>
      <name val="Arial"/>
      <family val="2"/>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sz val="8"/>
      <name val="Times New Roman"/>
      <family val="1"/>
    </font>
    <font>
      <b/>
      <sz val="8"/>
      <color indexed="8"/>
      <name val="Arial"/>
      <family val="2"/>
    </font>
    <font>
      <sz val="10"/>
      <color indexed="62"/>
      <name val="Times New Roman"/>
      <family val="1"/>
    </font>
    <font>
      <b/>
      <sz val="10"/>
      <name val="Times New Roman"/>
      <family val="1"/>
    </font>
    <font>
      <b/>
      <sz val="6"/>
      <color indexed="10"/>
      <name val="Arial"/>
      <family val="2"/>
    </font>
    <font>
      <sz val="10"/>
      <name val="Times New Roman"/>
      <family val="1"/>
    </font>
    <font>
      <b/>
      <sz val="9"/>
      <color indexed="81"/>
      <name val="Tahoma"/>
      <family val="2"/>
    </font>
    <font>
      <sz val="9"/>
      <color indexed="81"/>
      <name val="Tahoma"/>
      <family val="2"/>
    </font>
    <font>
      <sz val="11"/>
      <color theme="1"/>
      <name val="Calibri"/>
      <family val="2"/>
      <scheme val="minor"/>
    </font>
    <font>
      <b/>
      <sz val="6"/>
      <color theme="6" tint="-0.249977111117893"/>
      <name val="Arial"/>
      <family val="2"/>
    </font>
    <font>
      <sz val="8"/>
      <color rgb="FF00B050"/>
      <name val="Arial"/>
      <family val="2"/>
    </font>
    <font>
      <sz val="6"/>
      <color rgb="FF00B050"/>
      <name val="Arial"/>
      <family val="2"/>
    </font>
    <font>
      <sz val="10"/>
      <color rgb="FF00B050"/>
      <name val="Times New Roman"/>
      <family val="1"/>
    </font>
    <font>
      <b/>
      <sz val="8"/>
      <color rgb="FFFF0000"/>
      <name val="Arial"/>
      <family val="2"/>
    </font>
    <font>
      <b/>
      <sz val="10"/>
      <color rgb="FFFF0000"/>
      <name val="Arial"/>
      <family val="2"/>
    </font>
    <font>
      <sz val="14"/>
      <name val="Arial"/>
      <family val="2"/>
    </font>
    <font>
      <b/>
      <sz val="18"/>
      <name val="Book Antiqua"/>
      <family val="1"/>
    </font>
    <font>
      <sz val="10"/>
      <color indexed="9"/>
      <name val="Times New Roman"/>
      <family val="1"/>
    </font>
    <font>
      <b/>
      <sz val="12.5"/>
      <name val="Arial"/>
      <family val="2"/>
    </font>
    <font>
      <b/>
      <sz val="16"/>
      <name val="Arial"/>
      <family val="2"/>
    </font>
    <font>
      <b/>
      <sz val="10"/>
      <name val="Arial Narrow"/>
      <family val="2"/>
    </font>
    <font>
      <b/>
      <sz val="11"/>
      <name val="Arial Narrow"/>
      <family val="2"/>
    </font>
  </fonts>
  <fills count="1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31"/>
      </patternFill>
    </fill>
    <fill>
      <patternFill patternType="solid">
        <fgColor indexed="22"/>
        <bgColor indexed="8"/>
      </patternFill>
    </fill>
    <fill>
      <patternFill patternType="solid">
        <fgColor indexed="46"/>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indexed="44"/>
        <bgColor indexed="49"/>
      </patternFill>
    </fill>
  </fills>
  <borders count="85">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8"/>
      </left>
      <right style="hair">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8"/>
      </bottom>
      <diagonal/>
    </border>
  </borders>
  <cellStyleXfs count="6">
    <xf numFmtId="0" fontId="0" fillId="0" borderId="0"/>
    <xf numFmtId="0" fontId="70" fillId="0" borderId="0"/>
    <xf numFmtId="0" fontId="1" fillId="0" borderId="0"/>
    <xf numFmtId="0" fontId="67" fillId="0" borderId="0"/>
    <xf numFmtId="0" fontId="47" fillId="0" borderId="0"/>
    <xf numFmtId="0" fontId="47" fillId="0" borderId="0"/>
  </cellStyleXfs>
  <cellXfs count="900">
    <xf numFmtId="0" fontId="0" fillId="0" borderId="0" xfId="0"/>
    <xf numFmtId="0" fontId="2" fillId="0" borderId="0" xfId="0" applyFont="1"/>
    <xf numFmtId="0" fontId="3" fillId="0" borderId="0" xfId="0" applyFont="1"/>
    <xf numFmtId="0" fontId="3" fillId="0" borderId="0" xfId="0" applyFont="1" applyBorder="1"/>
    <xf numFmtId="0" fontId="0" fillId="0" borderId="0" xfId="0" applyBorder="1"/>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2" fillId="0" borderId="0" xfId="0" applyFont="1"/>
    <xf numFmtId="0" fontId="15" fillId="0" borderId="0" xfId="0" applyFont="1"/>
    <xf numFmtId="0" fontId="16" fillId="0" borderId="0" xfId="0" applyFont="1" applyBorder="1" applyAlignment="1">
      <alignment wrapText="1"/>
    </xf>
    <xf numFmtId="0" fontId="7" fillId="0" borderId="0" xfId="0" applyFont="1" applyFill="1" applyBorder="1" applyAlignment="1">
      <alignment horizontal="center" vertical="center"/>
    </xf>
    <xf numFmtId="0" fontId="3" fillId="0" borderId="0" xfId="0" applyFont="1" applyAlignment="1">
      <alignment vertical="top" wrapText="1"/>
    </xf>
    <xf numFmtId="0" fontId="21" fillId="0" borderId="0" xfId="0" applyFont="1"/>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7" fillId="2" borderId="0" xfId="0" applyFont="1" applyFill="1"/>
    <xf numFmtId="0" fontId="3" fillId="2" borderId="0" xfId="0" applyFont="1" applyFill="1"/>
    <xf numFmtId="0" fontId="21" fillId="2" borderId="0" xfId="0" applyFont="1" applyFill="1"/>
    <xf numFmtId="0" fontId="3" fillId="3" borderId="0" xfId="0" applyFont="1" applyFill="1"/>
    <xf numFmtId="0" fontId="5" fillId="0" borderId="0" xfId="0" applyFont="1" applyAlignment="1">
      <alignment horizontal="left"/>
    </xf>
    <xf numFmtId="0" fontId="12" fillId="0" borderId="2" xfId="0" applyFont="1" applyBorder="1" applyProtection="1">
      <protection locked="0"/>
    </xf>
    <xf numFmtId="0" fontId="12" fillId="0" borderId="2" xfId="0" applyFont="1" applyBorder="1" applyAlignment="1" applyProtection="1">
      <alignment horizontal="center"/>
      <protection locked="0"/>
    </xf>
    <xf numFmtId="0" fontId="13" fillId="0" borderId="2" xfId="0" applyFont="1" applyBorder="1" applyProtection="1">
      <protection locked="0"/>
    </xf>
    <xf numFmtId="0" fontId="14" fillId="0" borderId="2" xfId="0" applyFont="1" applyBorder="1" applyProtection="1">
      <protection locked="0"/>
    </xf>
    <xf numFmtId="0" fontId="0" fillId="0" borderId="0" xfId="0" applyProtection="1">
      <protection locked="0"/>
    </xf>
    <xf numFmtId="0" fontId="14" fillId="0" borderId="0" xfId="0" applyFont="1" applyProtection="1">
      <protection locked="0"/>
    </xf>
    <xf numFmtId="0" fontId="13" fillId="0" borderId="0" xfId="0" applyFont="1" applyBorder="1" applyProtection="1">
      <protection locked="0"/>
    </xf>
    <xf numFmtId="0" fontId="21" fillId="0" borderId="0" xfId="0" applyFont="1" applyProtection="1">
      <protection locked="0"/>
    </xf>
    <xf numFmtId="0" fontId="5" fillId="2" borderId="0" xfId="0" applyFont="1" applyFill="1" applyProtection="1">
      <protection locked="0"/>
    </xf>
    <xf numFmtId="0" fontId="7" fillId="0" borderId="0" xfId="0" applyFont="1" applyAlignment="1" applyProtection="1">
      <alignment horizontal="center" vertical="center"/>
      <protection locked="0"/>
    </xf>
    <xf numFmtId="0" fontId="13" fillId="0" borderId="0" xfId="0" applyFont="1" applyFill="1" applyAlignment="1"/>
    <xf numFmtId="0" fontId="7"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2"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2" fillId="4" borderId="0" xfId="0" applyFont="1" applyFill="1"/>
    <xf numFmtId="0" fontId="0" fillId="4" borderId="0" xfId="0" applyFill="1" applyAlignment="1">
      <alignment vertical="center" wrapText="1"/>
    </xf>
    <xf numFmtId="0" fontId="7" fillId="4" borderId="0" xfId="0" applyFont="1" applyFill="1" applyBorder="1" applyAlignment="1">
      <alignment horizontal="center" vertical="center" wrapText="1"/>
    </xf>
    <xf numFmtId="0" fontId="0" fillId="0" borderId="0" xfId="0" applyFont="1"/>
    <xf numFmtId="0" fontId="7" fillId="0" borderId="0" xfId="0" applyFont="1" applyFill="1" applyBorder="1" applyAlignment="1">
      <alignment horizontal="center"/>
    </xf>
    <xf numFmtId="0" fontId="7" fillId="0" borderId="0" xfId="0" applyFont="1" applyFill="1" applyBorder="1" applyAlignment="1" applyProtection="1">
      <alignment horizontal="center" vertical="center"/>
      <protection locked="0"/>
    </xf>
    <xf numFmtId="0" fontId="0" fillId="0" borderId="0" xfId="0" applyFill="1" applyBorder="1"/>
    <xf numFmtId="0" fontId="32" fillId="0" borderId="0" xfId="0" applyNumberFormat="1" applyFont="1" applyBorder="1" applyAlignment="1" applyProtection="1">
      <alignment horizontal="left" vertical="center"/>
      <protection locked="0"/>
    </xf>
    <xf numFmtId="0" fontId="18" fillId="0" borderId="0" xfId="0" applyFont="1" applyFill="1"/>
    <xf numFmtId="0" fontId="0" fillId="5" borderId="3" xfId="0" applyFill="1" applyBorder="1" applyAlignment="1">
      <alignment vertical="center" wrapText="1"/>
    </xf>
    <xf numFmtId="0" fontId="40" fillId="5" borderId="4" xfId="0" applyFont="1" applyFill="1" applyBorder="1"/>
    <xf numFmtId="0" fontId="0" fillId="5" borderId="4" xfId="0" applyFill="1" applyBorder="1"/>
    <xf numFmtId="0" fontId="41"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7" fillId="6" borderId="19" xfId="0" applyFont="1" applyFill="1" applyBorder="1" applyAlignment="1" applyProtection="1">
      <alignment horizontal="center" vertical="center" wrapText="1"/>
    </xf>
    <xf numFmtId="0" fontId="7" fillId="6" borderId="20" xfId="0" applyFont="1" applyFill="1" applyBorder="1" applyAlignment="1" applyProtection="1">
      <alignment horizontal="center" vertical="center" wrapText="1"/>
    </xf>
    <xf numFmtId="0" fontId="7" fillId="6" borderId="21" xfId="0" applyFont="1" applyFill="1" applyBorder="1" applyAlignment="1" applyProtection="1">
      <alignment horizontal="center" vertical="center"/>
    </xf>
    <xf numFmtId="0" fontId="7" fillId="6" borderId="21" xfId="0" applyFont="1" applyFill="1" applyBorder="1" applyAlignment="1" applyProtection="1">
      <alignment horizontal="center" vertical="center" wrapText="1"/>
    </xf>
    <xf numFmtId="0" fontId="7" fillId="4" borderId="0" xfId="0" applyFont="1" applyFill="1" applyBorder="1" applyAlignment="1">
      <alignment horizontal="center"/>
    </xf>
    <xf numFmtId="0" fontId="7" fillId="7" borderId="22" xfId="0" applyFont="1" applyFill="1" applyBorder="1" applyAlignment="1">
      <alignment horizontal="center" vertical="center" wrapText="1"/>
    </xf>
    <xf numFmtId="0" fontId="7" fillId="0" borderId="0" xfId="0" applyFont="1" applyBorder="1" applyAlignment="1">
      <alignment horizontal="center"/>
    </xf>
    <xf numFmtId="0" fontId="41" fillId="4" borderId="0" xfId="0" applyFont="1" applyFill="1" applyBorder="1" applyAlignment="1">
      <alignment horizontal="center"/>
    </xf>
    <xf numFmtId="0" fontId="7"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wrapText="1"/>
      <protection locked="0"/>
    </xf>
    <xf numFmtId="0" fontId="7" fillId="6" borderId="23" xfId="0" applyFont="1" applyFill="1" applyBorder="1" applyAlignment="1" applyProtection="1">
      <alignment horizontal="center" vertical="center" wrapText="1"/>
    </xf>
    <xf numFmtId="0" fontId="7" fillId="6" borderId="20"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19" xfId="0" applyFont="1" applyFill="1" applyBorder="1" applyAlignment="1" applyProtection="1">
      <alignment horizontal="center" vertical="center"/>
    </xf>
    <xf numFmtId="0" fontId="7" fillId="6" borderId="20" xfId="0" applyFont="1" applyFill="1" applyBorder="1" applyAlignment="1" applyProtection="1">
      <alignment horizontal="center"/>
    </xf>
    <xf numFmtId="0" fontId="4"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57" fillId="0" borderId="0" xfId="0" applyFont="1" applyFill="1"/>
    <xf numFmtId="0" fontId="32"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6" fillId="0" borderId="24" xfId="0" applyFont="1" applyFill="1" applyBorder="1" applyAlignment="1">
      <alignment vertical="top" wrapText="1"/>
    </xf>
    <xf numFmtId="0" fontId="4" fillId="0" borderId="0" xfId="0" applyFont="1" applyFill="1" applyBorder="1" applyAlignment="1">
      <alignment horizontal="center" vertical="center"/>
    </xf>
    <xf numFmtId="0" fontId="7" fillId="6" borderId="0" xfId="0" applyFont="1" applyFill="1" applyBorder="1" applyAlignment="1" applyProtection="1">
      <alignment horizontal="center" vertical="center" wrapText="1"/>
    </xf>
    <xf numFmtId="0" fontId="7" fillId="6" borderId="25" xfId="0" applyFont="1" applyFill="1" applyBorder="1" applyAlignment="1" applyProtection="1">
      <alignment horizontal="center" vertical="center"/>
    </xf>
    <xf numFmtId="0" fontId="7" fillId="6" borderId="26" xfId="0" applyFont="1" applyFill="1" applyBorder="1" applyAlignment="1" applyProtection="1">
      <alignment horizontal="center" vertical="center"/>
    </xf>
    <xf numFmtId="0" fontId="7" fillId="6" borderId="27" xfId="0" applyFont="1" applyFill="1" applyBorder="1" applyAlignment="1" applyProtection="1">
      <alignment horizontal="center" vertical="center"/>
    </xf>
    <xf numFmtId="0" fontId="3" fillId="0" borderId="0" xfId="0" applyFont="1" applyFill="1" applyBorder="1" applyAlignment="1">
      <alignment horizontal="left" vertical="top" wrapText="1"/>
    </xf>
    <xf numFmtId="0" fontId="3" fillId="0" borderId="0" xfId="0" applyFont="1" applyFill="1" applyAlignment="1">
      <alignment vertical="center" wrapText="1"/>
    </xf>
    <xf numFmtId="0" fontId="21" fillId="0" borderId="0" xfId="0" applyFont="1" applyFill="1" applyAlignment="1">
      <alignment wrapText="1"/>
    </xf>
    <xf numFmtId="0" fontId="0" fillId="0" borderId="0" xfId="0" applyFill="1" applyAlignment="1">
      <alignment vertical="top" wrapText="1"/>
    </xf>
    <xf numFmtId="0" fontId="17" fillId="0" borderId="0" xfId="0" applyFont="1" applyFill="1" applyAlignment="1">
      <alignment horizontal="left" vertical="top" wrapText="1" indent="4"/>
    </xf>
    <xf numFmtId="0" fontId="17"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1"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2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18" fillId="0" borderId="0" xfId="0" applyFont="1" applyFill="1" applyAlignment="1">
      <alignment vertical="top" wrapText="1"/>
    </xf>
    <xf numFmtId="0" fontId="4" fillId="0" borderId="22"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alignment horizontal="center" vertical="top" wrapText="1"/>
    </xf>
    <xf numFmtId="0" fontId="3" fillId="0" borderId="28" xfId="0" applyFont="1" applyFill="1" applyBorder="1" applyAlignment="1">
      <alignment horizontal="center" vertical="top" wrapText="1"/>
    </xf>
    <xf numFmtId="0" fontId="10" fillId="0" borderId="0" xfId="0" applyFont="1" applyFill="1" applyAlignment="1">
      <alignment vertical="top" wrapText="1"/>
    </xf>
    <xf numFmtId="0" fontId="5" fillId="0" borderId="0" xfId="0" applyFont="1" applyFill="1" applyAlignment="1">
      <alignment vertical="top"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Alignment="1">
      <alignment vertical="top"/>
    </xf>
    <xf numFmtId="0" fontId="2" fillId="0" borderId="32" xfId="0" applyFont="1" applyFill="1" applyBorder="1" applyAlignment="1">
      <alignment vertical="top" wrapText="1"/>
    </xf>
    <xf numFmtId="0" fontId="2" fillId="0" borderId="33" xfId="0" applyFont="1" applyFill="1" applyBorder="1" applyAlignment="1">
      <alignment vertical="top" wrapText="1"/>
    </xf>
    <xf numFmtId="0" fontId="4" fillId="0" borderId="29" xfId="0" applyFont="1" applyFill="1" applyBorder="1" applyAlignment="1">
      <alignment vertical="center"/>
    </xf>
    <xf numFmtId="0" fontId="4" fillId="0" borderId="32" xfId="0" applyFont="1" applyFill="1" applyBorder="1" applyAlignment="1">
      <alignment vertical="top"/>
    </xf>
    <xf numFmtId="0" fontId="4" fillId="0" borderId="32" xfId="0" applyFont="1"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4" fillId="0" borderId="8" xfId="0" applyFont="1" applyFill="1" applyBorder="1" applyAlignment="1">
      <alignment vertical="top"/>
    </xf>
    <xf numFmtId="0" fontId="4" fillId="0" borderId="22" xfId="0" applyFont="1" applyFill="1" applyBorder="1" applyAlignment="1">
      <alignment vertical="top" wrapText="1"/>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0" xfId="2" applyFont="1" applyFill="1" applyBorder="1"/>
    <xf numFmtId="0" fontId="4" fillId="0" borderId="0" xfId="2"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0" fontId="3" fillId="0" borderId="36" xfId="0" applyFont="1" applyFill="1" applyBorder="1" applyAlignment="1" applyProtection="1">
      <alignment vertical="top" wrapText="1"/>
    </xf>
    <xf numFmtId="0" fontId="3" fillId="0" borderId="36" xfId="0" applyFont="1" applyFill="1" applyBorder="1" applyAlignment="1">
      <alignment vertical="top" wrapText="1"/>
    </xf>
    <xf numFmtId="0" fontId="3" fillId="0" borderId="36" xfId="0" applyNumberFormat="1" applyFont="1" applyFill="1" applyBorder="1" applyAlignment="1">
      <alignment vertical="top" wrapText="1"/>
    </xf>
    <xf numFmtId="0" fontId="6" fillId="0" borderId="36" xfId="0" applyFont="1" applyFill="1" applyBorder="1" applyAlignment="1">
      <alignment vertical="top" wrapText="1"/>
    </xf>
    <xf numFmtId="0" fontId="4" fillId="0" borderId="37" xfId="0" applyFont="1" applyFill="1" applyBorder="1" applyAlignment="1">
      <alignment vertical="top" wrapText="1"/>
    </xf>
    <xf numFmtId="0" fontId="4" fillId="0" borderId="38" xfId="0" applyFont="1" applyFill="1" applyBorder="1" applyAlignment="1">
      <alignment vertical="top" wrapText="1"/>
    </xf>
    <xf numFmtId="0" fontId="3" fillId="0" borderId="39" xfId="0" applyNumberFormat="1" applyFont="1" applyFill="1" applyBorder="1" applyAlignment="1">
      <alignment vertical="top" wrapText="1"/>
    </xf>
    <xf numFmtId="0" fontId="3" fillId="0" borderId="22" xfId="0" applyFont="1" applyFill="1" applyBorder="1" applyAlignment="1">
      <alignment vertical="top" wrapText="1"/>
    </xf>
    <xf numFmtId="49" fontId="2" fillId="0" borderId="40" xfId="0" applyNumberFormat="1" applyFont="1" applyFill="1" applyBorder="1" applyAlignment="1">
      <alignment vertical="top" wrapText="1"/>
    </xf>
    <xf numFmtId="0" fontId="4" fillId="0" borderId="41" xfId="0" applyFont="1" applyFill="1" applyBorder="1" applyAlignment="1">
      <alignment vertical="top" wrapText="1"/>
    </xf>
    <xf numFmtId="0" fontId="4" fillId="0" borderId="36" xfId="0" applyFont="1" applyFill="1" applyBorder="1" applyAlignment="1">
      <alignment vertical="top" wrapText="1"/>
    </xf>
    <xf numFmtId="0" fontId="4"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39" xfId="0" applyFont="1" applyFill="1" applyBorder="1" applyAlignment="1" applyProtection="1">
      <alignment vertical="top" wrapText="1"/>
    </xf>
    <xf numFmtId="0" fontId="3" fillId="0" borderId="38" xfId="0" applyFont="1" applyFill="1" applyBorder="1" applyAlignment="1">
      <alignment vertical="top" wrapText="1"/>
    </xf>
    <xf numFmtId="0" fontId="3" fillId="0" borderId="44" xfId="0" applyNumberFormat="1" applyFont="1" applyFill="1" applyBorder="1" applyAlignment="1">
      <alignment vertical="top" wrapText="1"/>
    </xf>
    <xf numFmtId="0" fontId="3" fillId="0" borderId="45" xfId="0" applyFont="1" applyFill="1" applyBorder="1" applyAlignment="1">
      <alignment vertical="top" wrapText="1"/>
    </xf>
    <xf numFmtId="0" fontId="3" fillId="0" borderId="46" xfId="0" applyFont="1" applyFill="1" applyBorder="1" applyAlignment="1">
      <alignment vertical="top" wrapText="1"/>
    </xf>
    <xf numFmtId="0" fontId="59" fillId="7" borderId="22" xfId="0" applyFont="1" applyFill="1" applyBorder="1" applyAlignment="1">
      <alignment horizontal="center" vertical="center" wrapText="1"/>
    </xf>
    <xf numFmtId="0" fontId="0" fillId="6" borderId="0" xfId="0" applyFill="1" applyAlignment="1" applyProtection="1">
      <alignment horizontal="center"/>
    </xf>
    <xf numFmtId="0" fontId="8" fillId="6" borderId="0" xfId="0" applyFont="1" applyFill="1" applyAlignment="1" applyProtection="1">
      <alignment horizontal="right"/>
    </xf>
    <xf numFmtId="0" fontId="5" fillId="2" borderId="0" xfId="0" applyFont="1" applyFill="1" applyProtection="1"/>
    <xf numFmtId="0" fontId="22" fillId="2" borderId="0" xfId="0" applyFont="1" applyFill="1" applyAlignment="1" applyProtection="1">
      <alignment horizontal="center"/>
    </xf>
    <xf numFmtId="0" fontId="23" fillId="2" borderId="0" xfId="0" applyFont="1" applyFill="1" applyBorder="1" applyAlignment="1" applyProtection="1">
      <alignment wrapText="1"/>
    </xf>
    <xf numFmtId="0" fontId="23" fillId="2" borderId="0" xfId="0" applyFont="1" applyFill="1" applyBorder="1" applyProtection="1"/>
    <xf numFmtId="0" fontId="26" fillId="2" borderId="0" xfId="0" applyFont="1" applyFill="1" applyAlignment="1" applyProtection="1">
      <alignment horizontal="center" vertical="center"/>
    </xf>
    <xf numFmtId="0" fontId="31" fillId="2" borderId="0" xfId="0" applyFont="1" applyFill="1" applyAlignment="1" applyProtection="1">
      <alignment horizontal="left" vertical="center" wrapText="1"/>
    </xf>
    <xf numFmtId="0" fontId="26"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0" borderId="0" xfId="0" applyFill="1" applyProtection="1"/>
    <xf numFmtId="0" fontId="0" fillId="6" borderId="0" xfId="0" applyFill="1" applyProtection="1"/>
    <xf numFmtId="0" fontId="44"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2" fillId="0" borderId="0" xfId="0" applyFont="1" applyFill="1" applyAlignment="1" applyProtection="1">
      <alignment horizontal="center"/>
    </xf>
    <xf numFmtId="0" fontId="23" fillId="0" borderId="0" xfId="0" applyFont="1" applyFill="1" applyBorder="1" applyAlignment="1" applyProtection="1">
      <alignment wrapText="1"/>
    </xf>
    <xf numFmtId="0" fontId="23" fillId="0" borderId="0" xfId="0" applyFont="1" applyFill="1" applyProtection="1"/>
    <xf numFmtId="0" fontId="26" fillId="0" borderId="0" xfId="0" applyFont="1" applyFill="1" applyAlignment="1" applyProtection="1">
      <alignment horizontal="center" vertical="center"/>
    </xf>
    <xf numFmtId="0" fontId="31" fillId="0" borderId="0" xfId="0" applyFont="1" applyFill="1" applyAlignment="1" applyProtection="1">
      <alignment horizontal="left" vertical="center" wrapText="1"/>
    </xf>
    <xf numFmtId="0" fontId="26" fillId="0" borderId="0" xfId="0" applyFont="1" applyFill="1" applyAlignment="1" applyProtection="1">
      <alignment horizontal="center" vertical="center" wrapText="1"/>
    </xf>
    <xf numFmtId="0" fontId="3" fillId="0" borderId="0" xfId="0" applyFont="1" applyFill="1" applyProtection="1"/>
    <xf numFmtId="0" fontId="12" fillId="0" borderId="2" xfId="0" applyFont="1" applyFill="1" applyBorder="1" applyProtection="1"/>
    <xf numFmtId="0" fontId="7" fillId="0" borderId="2" xfId="0" applyFont="1" applyFill="1" applyBorder="1" applyAlignment="1" applyProtection="1">
      <alignment horizontal="center" vertical="center"/>
    </xf>
    <xf numFmtId="0" fontId="32" fillId="0" borderId="2"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49" fillId="6" borderId="0" xfId="0" applyFont="1" applyFill="1" applyProtection="1"/>
    <xf numFmtId="0" fontId="3" fillId="3" borderId="0" xfId="0" applyFont="1" applyFill="1" applyBorder="1" applyProtection="1"/>
    <xf numFmtId="0" fontId="1" fillId="6" borderId="0" xfId="0" applyFont="1" applyFill="1" applyProtection="1"/>
    <xf numFmtId="0" fontId="49" fillId="6" borderId="0" xfId="0" applyFont="1" applyFill="1" applyAlignment="1" applyProtection="1">
      <alignment vertical="top"/>
    </xf>
    <xf numFmtId="0" fontId="4" fillId="6" borderId="0" xfId="0" applyFont="1" applyFill="1" applyBorder="1" applyAlignment="1" applyProtection="1">
      <alignment wrapText="1"/>
    </xf>
    <xf numFmtId="0" fontId="0" fillId="6" borderId="0" xfId="0" applyFill="1" applyAlignment="1" applyProtection="1"/>
    <xf numFmtId="0" fontId="0" fillId="0" borderId="0" xfId="0" applyAlignment="1" applyProtection="1"/>
    <xf numFmtId="0" fontId="0" fillId="0" borderId="0" xfId="0" applyFill="1" applyAlignment="1" applyProtection="1"/>
    <xf numFmtId="0" fontId="50" fillId="6" borderId="0" xfId="0" applyFont="1" applyFill="1" applyProtection="1"/>
    <xf numFmtId="0" fontId="63" fillId="9" borderId="42" xfId="4" applyFont="1" applyFill="1" applyBorder="1" applyAlignment="1" applyProtection="1">
      <alignment horizontal="center"/>
    </xf>
    <xf numFmtId="0" fontId="63" fillId="9" borderId="42" xfId="4" applyFont="1" applyFill="1" applyBorder="1" applyAlignment="1" applyProtection="1">
      <alignment horizontal="center" wrapText="1"/>
    </xf>
    <xf numFmtId="0" fontId="8" fillId="6" borderId="0" xfId="0" applyFont="1" applyFill="1" applyAlignment="1" applyProtection="1">
      <alignment horizontal="center" vertical="center"/>
    </xf>
    <xf numFmtId="0" fontId="8" fillId="6" borderId="0" xfId="0" applyFont="1" applyFill="1" applyAlignment="1" applyProtection="1">
      <alignment horizontal="right" vertical="center"/>
    </xf>
    <xf numFmtId="0" fontId="6" fillId="6" borderId="47"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xf>
    <xf numFmtId="0" fontId="34" fillId="6" borderId="47"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62" fillId="6" borderId="0" xfId="0" applyFont="1" applyFill="1" applyAlignment="1" applyProtection="1">
      <alignment horizontal="center" vertical="center"/>
    </xf>
    <xf numFmtId="0" fontId="8" fillId="0" borderId="0" xfId="0" applyFont="1" applyAlignment="1" applyProtection="1">
      <alignment horizontal="center" vertical="center"/>
    </xf>
    <xf numFmtId="0" fontId="0" fillId="6" borderId="0" xfId="0" applyFill="1" applyAlignment="1" applyProtection="1">
      <alignment horizontal="center" vertical="center"/>
    </xf>
    <xf numFmtId="0" fontId="7" fillId="6" borderId="0" xfId="0" applyFont="1" applyFill="1" applyAlignment="1" applyProtection="1">
      <alignment horizontal="right" vertical="center" wrapText="1"/>
    </xf>
    <xf numFmtId="0" fontId="7" fillId="0" borderId="19" xfId="0" applyFont="1" applyBorder="1" applyAlignment="1" applyProtection="1">
      <alignment horizontal="center" vertical="center"/>
    </xf>
    <xf numFmtId="0" fontId="7" fillId="0" borderId="19" xfId="0" applyFont="1" applyBorder="1" applyAlignment="1" applyProtection="1">
      <alignment horizontal="left" vertical="center" wrapText="1"/>
    </xf>
    <xf numFmtId="0" fontId="7" fillId="0" borderId="19" xfId="0" applyFont="1" applyFill="1" applyBorder="1" applyAlignment="1" applyProtection="1">
      <alignment horizontal="center" vertical="center"/>
    </xf>
    <xf numFmtId="0" fontId="0" fillId="0" borderId="0" xfId="0" applyFill="1" applyAlignment="1" applyProtection="1">
      <alignment vertical="center"/>
    </xf>
    <xf numFmtId="0" fontId="0" fillId="6" borderId="0" xfId="0" applyFill="1" applyAlignment="1" applyProtection="1">
      <alignment vertical="center"/>
    </xf>
    <xf numFmtId="0" fontId="7" fillId="6" borderId="48" xfId="0" applyFont="1" applyFill="1" applyBorder="1" applyAlignment="1" applyProtection="1">
      <alignment horizontal="left" vertical="center" wrapText="1"/>
    </xf>
    <xf numFmtId="0" fontId="7" fillId="6" borderId="48" xfId="0" applyFont="1" applyFill="1" applyBorder="1" applyAlignment="1" applyProtection="1">
      <alignment horizontal="center" vertical="center" wrapText="1"/>
    </xf>
    <xf numFmtId="0" fontId="7" fillId="6" borderId="48" xfId="0" applyFont="1" applyFill="1" applyBorder="1" applyAlignment="1" applyProtection="1">
      <alignment horizontal="center" vertical="center"/>
    </xf>
    <xf numFmtId="0" fontId="32" fillId="6" borderId="19" xfId="0" applyFont="1" applyFill="1" applyBorder="1" applyAlignment="1" applyProtection="1">
      <alignment horizontal="left" vertical="center" wrapText="1"/>
    </xf>
    <xf numFmtId="0" fontId="0" fillId="0" borderId="0" xfId="0" applyAlignment="1" applyProtection="1">
      <alignment vertical="center"/>
    </xf>
    <xf numFmtId="0" fontId="7" fillId="0" borderId="21" xfId="0" applyFont="1" applyBorder="1" applyAlignment="1" applyProtection="1">
      <alignment horizontal="center" vertical="center"/>
    </xf>
    <xf numFmtId="0" fontId="7" fillId="0" borderId="21" xfId="0" applyFont="1" applyBorder="1" applyAlignment="1" applyProtection="1">
      <alignment horizontal="left" vertical="center" wrapText="1"/>
    </xf>
    <xf numFmtId="0" fontId="7" fillId="6" borderId="21" xfId="0" applyFont="1" applyFill="1" applyBorder="1" applyAlignment="1" applyProtection="1">
      <alignment horizontal="left" vertical="center" wrapText="1"/>
    </xf>
    <xf numFmtId="0" fontId="32" fillId="6" borderId="21"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7" fillId="0" borderId="21" xfId="0" applyFont="1" applyFill="1" applyBorder="1" applyAlignment="1" applyProtection="1">
      <alignment horizontal="center" vertical="center"/>
    </xf>
    <xf numFmtId="0" fontId="6" fillId="6" borderId="21" xfId="0" applyFont="1" applyFill="1" applyBorder="1" applyAlignment="1" applyProtection="1">
      <alignment horizontal="left" vertical="center" wrapText="1"/>
    </xf>
    <xf numFmtId="0" fontId="7" fillId="0" borderId="49" xfId="0" applyFont="1" applyBorder="1" applyAlignment="1" applyProtection="1">
      <alignment horizontal="center" vertical="center"/>
    </xf>
    <xf numFmtId="0" fontId="7" fillId="6" borderId="49" xfId="0" applyFont="1" applyFill="1" applyBorder="1" applyAlignment="1" applyProtection="1">
      <alignment horizontal="center" vertical="center"/>
    </xf>
    <xf numFmtId="0" fontId="32" fillId="6" borderId="49" xfId="0" applyFont="1" applyFill="1" applyBorder="1" applyAlignment="1" applyProtection="1">
      <alignment horizontal="left" vertical="center" wrapText="1"/>
    </xf>
    <xf numFmtId="0" fontId="7" fillId="0" borderId="49" xfId="0" applyFont="1" applyFill="1" applyBorder="1" applyAlignment="1" applyProtection="1">
      <alignment horizontal="center" vertical="center"/>
    </xf>
    <xf numFmtId="0" fontId="11" fillId="0" borderId="23" xfId="0" applyFont="1" applyFill="1" applyBorder="1" applyAlignment="1" applyProtection="1">
      <alignment vertical="center" wrapText="1"/>
    </xf>
    <xf numFmtId="0" fontId="11" fillId="6" borderId="23" xfId="0" applyFont="1" applyFill="1" applyBorder="1" applyAlignment="1" applyProtection="1">
      <alignment vertical="center" wrapText="1"/>
    </xf>
    <xf numFmtId="0" fontId="32" fillId="6" borderId="23" xfId="0" applyFont="1" applyFill="1" applyBorder="1" applyAlignment="1" applyProtection="1">
      <alignment horizontal="left" vertical="center" wrapText="1"/>
    </xf>
    <xf numFmtId="0" fontId="7" fillId="0" borderId="21" xfId="0" applyFont="1" applyFill="1" applyBorder="1" applyAlignment="1" applyProtection="1">
      <alignment vertical="center" wrapText="1"/>
    </xf>
    <xf numFmtId="0" fontId="7" fillId="6" borderId="21" xfId="0" applyFont="1" applyFill="1" applyBorder="1" applyAlignment="1" applyProtection="1">
      <alignment vertical="center" wrapText="1"/>
    </xf>
    <xf numFmtId="0" fontId="7" fillId="0" borderId="20" xfId="0" applyFont="1" applyBorder="1" applyAlignment="1" applyProtection="1">
      <alignment horizontal="center" vertical="center"/>
    </xf>
    <xf numFmtId="0" fontId="7" fillId="0" borderId="20" xfId="0" applyFont="1" applyFill="1" applyBorder="1" applyAlignment="1" applyProtection="1">
      <alignment vertical="center" wrapText="1"/>
    </xf>
    <xf numFmtId="0" fontId="7" fillId="0" borderId="20" xfId="0" applyFont="1" applyFill="1" applyBorder="1" applyAlignment="1" applyProtection="1">
      <alignment horizontal="left" vertical="center" wrapText="1"/>
    </xf>
    <xf numFmtId="0" fontId="7" fillId="6" borderId="23" xfId="0" applyFont="1" applyFill="1" applyBorder="1" applyAlignment="1" applyProtection="1">
      <alignment horizontal="center" vertical="center"/>
    </xf>
    <xf numFmtId="0" fontId="0" fillId="0" borderId="0" xfId="0" applyBorder="1" applyAlignment="1" applyProtection="1">
      <alignment vertical="center"/>
    </xf>
    <xf numFmtId="0" fontId="58" fillId="0" borderId="0" xfId="0" applyFont="1" applyAlignment="1" applyProtection="1">
      <alignment vertical="center"/>
    </xf>
    <xf numFmtId="0" fontId="7" fillId="6" borderId="50" xfId="0" applyFont="1" applyFill="1" applyBorder="1" applyAlignment="1" applyProtection="1">
      <alignment horizontal="left" vertical="center" wrapText="1"/>
    </xf>
    <xf numFmtId="0" fontId="32" fillId="6" borderId="20" xfId="0" applyFont="1" applyFill="1" applyBorder="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vertical="center"/>
    </xf>
    <xf numFmtId="0" fontId="32"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3" fillId="0" borderId="0" xfId="0" applyFont="1" applyProtection="1"/>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7" fillId="0" borderId="0" xfId="0" applyFont="1" applyFill="1" applyAlignment="1" applyProtection="1">
      <alignment horizontal="center" vertical="center"/>
    </xf>
    <xf numFmtId="0" fontId="32" fillId="0" borderId="0" xfId="0" applyFont="1" applyFill="1" applyAlignment="1" applyProtection="1">
      <alignment horizontal="left" vertical="center" wrapText="1"/>
    </xf>
    <xf numFmtId="0" fontId="7"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7" fillId="0" borderId="0" xfId="0" applyFont="1" applyFill="1" applyAlignment="1" applyProtection="1">
      <alignment horizontal="left" vertical="top" wrapText="1"/>
    </xf>
    <xf numFmtId="0" fontId="7" fillId="6" borderId="0" xfId="0" applyFont="1" applyFill="1" applyProtection="1"/>
    <xf numFmtId="0" fontId="0" fillId="0" borderId="0" xfId="0" applyBorder="1" applyProtection="1"/>
    <xf numFmtId="0" fontId="6" fillId="0" borderId="0" xfId="0" applyFont="1" applyFill="1" applyAlignment="1" applyProtection="1">
      <alignment horizontal="left" vertical="top" wrapText="1"/>
    </xf>
    <xf numFmtId="0" fontId="0" fillId="0" borderId="0" xfId="0" applyFont="1" applyFill="1" applyProtection="1"/>
    <xf numFmtId="0" fontId="0" fillId="6" borderId="0" xfId="0" applyFont="1" applyFill="1" applyProtection="1"/>
    <xf numFmtId="0" fontId="48" fillId="6" borderId="19" xfId="0" applyFont="1" applyFill="1" applyBorder="1" applyAlignment="1" applyProtection="1">
      <alignment horizontal="center" vertical="center"/>
    </xf>
    <xf numFmtId="0" fontId="48" fillId="6" borderId="21" xfId="0" applyFont="1" applyFill="1" applyBorder="1" applyAlignment="1" applyProtection="1">
      <alignment horizontal="right" vertical="center" wrapText="1"/>
    </xf>
    <xf numFmtId="0" fontId="0" fillId="0" borderId="0"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39" fillId="6" borderId="21" xfId="0" applyFont="1" applyFill="1" applyBorder="1" applyAlignment="1" applyProtection="1">
      <alignment horizontal="center"/>
    </xf>
    <xf numFmtId="0" fontId="39" fillId="0" borderId="0" xfId="0" applyFont="1" applyFill="1" applyAlignment="1" applyProtection="1">
      <alignment horizontal="left" vertical="top" wrapText="1"/>
    </xf>
    <xf numFmtId="0" fontId="7" fillId="0"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39" fillId="4" borderId="0" xfId="0"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7" fillId="6" borderId="19"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49" fontId="48"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0" fillId="0" borderId="0" xfId="0" applyFill="1" applyBorder="1" applyProtection="1"/>
    <xf numFmtId="0" fontId="7" fillId="4" borderId="0" xfId="0" applyFont="1" applyFill="1" applyBorder="1" applyAlignment="1" applyProtection="1">
      <alignment vertical="top" wrapText="1"/>
    </xf>
    <xf numFmtId="0" fontId="0" fillId="4" borderId="0" xfId="0" applyFill="1" applyBorder="1" applyAlignment="1" applyProtection="1"/>
    <xf numFmtId="0" fontId="7" fillId="4" borderId="0" xfId="0" applyFont="1" applyFill="1" applyBorder="1" applyAlignment="1" applyProtection="1">
      <alignment vertical="center" wrapText="1"/>
    </xf>
    <xf numFmtId="0" fontId="7" fillId="0" borderId="0" xfId="0" applyFont="1" applyFill="1" applyAlignment="1" applyProtection="1">
      <alignment vertical="top" wrapText="1"/>
    </xf>
    <xf numFmtId="0" fontId="48" fillId="6" borderId="21"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4" borderId="0" xfId="0" applyFill="1" applyProtection="1"/>
    <xf numFmtId="0" fontId="7" fillId="4" borderId="0" xfId="0" applyFont="1" applyFill="1" applyAlignment="1" applyProtection="1">
      <alignment vertical="top" wrapText="1"/>
    </xf>
    <xf numFmtId="0" fontId="0" fillId="4" borderId="0" xfId="0" applyFill="1" applyBorder="1" applyAlignment="1" applyProtection="1">
      <alignment horizontal="center" vertical="center" wrapText="1"/>
    </xf>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6" borderId="22" xfId="0" applyFont="1" applyFill="1" applyBorder="1" applyProtection="1"/>
    <xf numFmtId="0" fontId="39" fillId="6" borderId="20" xfId="0" applyFont="1" applyFill="1" applyBorder="1" applyAlignment="1" applyProtection="1">
      <alignment horizontal="center"/>
    </xf>
    <xf numFmtId="0" fontId="48" fillId="6" borderId="20" xfId="0" applyFont="1" applyFill="1" applyBorder="1" applyAlignment="1" applyProtection="1">
      <alignment horizontal="right" vertical="center" wrapText="1"/>
    </xf>
    <xf numFmtId="0" fontId="7" fillId="6" borderId="0" xfId="0" applyFont="1" applyFill="1" applyAlignment="1" applyProtection="1">
      <alignment horizontal="center"/>
    </xf>
    <xf numFmtId="0" fontId="51" fillId="6" borderId="0" xfId="0" applyFont="1" applyFill="1" applyProtection="1"/>
    <xf numFmtId="0" fontId="39" fillId="6" borderId="0" xfId="0" applyFont="1" applyFill="1" applyAlignment="1" applyProtection="1">
      <alignment horizontal="center"/>
    </xf>
    <xf numFmtId="0" fontId="64" fillId="6" borderId="0" xfId="0" applyFont="1" applyFill="1" applyProtection="1"/>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7" fillId="0" borderId="2" xfId="0" applyFont="1" applyFill="1" applyBorder="1" applyAlignment="1" applyProtection="1">
      <alignment horizontal="center" vertical="center"/>
      <protection locked="0"/>
    </xf>
    <xf numFmtId="0" fontId="32"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3" fillId="0" borderId="2" xfId="0" applyFont="1" applyFill="1" applyBorder="1" applyProtection="1">
      <protection locked="0"/>
    </xf>
    <xf numFmtId="0" fontId="0" fillId="0" borderId="2" xfId="0" applyFill="1" applyBorder="1" applyProtection="1">
      <protection locked="0"/>
    </xf>
    <xf numFmtId="0" fontId="27" fillId="2" borderId="0" xfId="0" applyFont="1" applyFill="1" applyProtection="1"/>
    <xf numFmtId="0" fontId="7" fillId="2" borderId="0" xfId="0" applyFont="1" applyFill="1" applyAlignment="1" applyProtection="1">
      <alignment horizontal="center" vertical="center"/>
    </xf>
    <xf numFmtId="0" fontId="32"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2" fillId="0" borderId="0" xfId="0" applyFont="1" applyProtection="1"/>
    <xf numFmtId="0" fontId="30" fillId="0" borderId="0" xfId="0" applyFont="1" applyAlignment="1" applyProtection="1">
      <alignment horizontal="center" vertical="center"/>
    </xf>
    <xf numFmtId="0" fontId="33" fillId="0" borderId="0" xfId="0" applyFont="1" applyAlignment="1" applyProtection="1">
      <alignment horizontal="left" vertical="center" wrapText="1"/>
    </xf>
    <xf numFmtId="0" fontId="30" fillId="0" borderId="0" xfId="0" applyFont="1" applyAlignment="1" applyProtection="1">
      <alignment horizontal="center" vertical="center" wrapText="1"/>
    </xf>
    <xf numFmtId="0" fontId="7" fillId="0" borderId="0" xfId="0" applyFont="1" applyBorder="1" applyAlignment="1" applyProtection="1">
      <alignment horizontal="center" vertical="center"/>
    </xf>
    <xf numFmtId="0" fontId="12" fillId="0" borderId="2" xfId="0" applyFont="1" applyBorder="1" applyProtection="1"/>
    <xf numFmtId="0" fontId="7" fillId="0" borderId="2" xfId="0" applyFont="1" applyBorder="1" applyAlignment="1" applyProtection="1">
      <alignment horizontal="center" vertical="center"/>
    </xf>
    <xf numFmtId="0" fontId="32"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0" fontId="32" fillId="0" borderId="0" xfId="0" applyFont="1" applyBorder="1" applyAlignment="1" applyProtection="1">
      <alignment horizontal="left" vertical="center" wrapText="1"/>
    </xf>
    <xf numFmtId="0" fontId="3" fillId="0" borderId="2" xfId="0" applyFont="1" applyBorder="1" applyProtection="1"/>
    <xf numFmtId="0" fontId="32" fillId="6" borderId="0" xfId="0" applyNumberFormat="1" applyFont="1" applyFill="1" applyAlignment="1" applyProtection="1">
      <alignment horizontal="left" vertical="center"/>
    </xf>
    <xf numFmtId="0" fontId="52" fillId="6" borderId="0" xfId="0" applyFont="1" applyFill="1" applyProtection="1"/>
    <xf numFmtId="0" fontId="53" fillId="6" borderId="0" xfId="0" applyFont="1" applyFill="1" applyProtection="1"/>
    <xf numFmtId="0" fontId="45" fillId="6" borderId="0" xfId="0" applyFont="1" applyFill="1" applyBorder="1" applyProtection="1"/>
    <xf numFmtId="0" fontId="46" fillId="6" borderId="0" xfId="0" applyFont="1" applyFill="1" applyBorder="1" applyAlignment="1" applyProtection="1"/>
    <xf numFmtId="0" fontId="45" fillId="6" borderId="0" xfId="0" applyFont="1" applyFill="1" applyBorder="1" applyAlignment="1" applyProtection="1"/>
    <xf numFmtId="0" fontId="45" fillId="6" borderId="0" xfId="0" applyFont="1" applyFill="1" applyBorder="1" applyAlignment="1" applyProtection="1">
      <alignment horizontal="left"/>
    </xf>
    <xf numFmtId="0" fontId="46" fillId="6" borderId="0" xfId="0" applyFont="1" applyFill="1" applyBorder="1" applyProtection="1"/>
    <xf numFmtId="0" fontId="13" fillId="6" borderId="0" xfId="0" applyFont="1" applyFill="1" applyBorder="1" applyProtection="1"/>
    <xf numFmtId="0" fontId="13" fillId="0" borderId="0" xfId="0" applyFont="1" applyFill="1" applyBorder="1" applyProtection="1"/>
    <xf numFmtId="0" fontId="13" fillId="0" borderId="0" xfId="0" applyFont="1" applyProtection="1"/>
    <xf numFmtId="0" fontId="4" fillId="0" borderId="0" xfId="0" applyFont="1" applyProtection="1"/>
    <xf numFmtId="0" fontId="32" fillId="3" borderId="0" xfId="0" applyFont="1" applyFill="1" applyAlignment="1" applyProtection="1">
      <alignment horizontal="left" vertical="center" wrapText="1"/>
    </xf>
    <xf numFmtId="0" fontId="7" fillId="3" borderId="0" xfId="0" applyFont="1" applyFill="1" applyAlignment="1" applyProtection="1">
      <alignment horizontal="center" vertical="center"/>
    </xf>
    <xf numFmtId="0" fontId="52" fillId="6" borderId="0" xfId="0" applyFont="1" applyFill="1" applyAlignment="1" applyProtection="1">
      <alignment vertical="top"/>
    </xf>
    <xf numFmtId="0" fontId="7" fillId="0" borderId="0" xfId="0" applyFont="1" applyAlignment="1" applyProtection="1">
      <alignment horizontal="center" wrapText="1"/>
    </xf>
    <xf numFmtId="0" fontId="32" fillId="0" borderId="0" xfId="0" applyFont="1" applyAlignment="1" applyProtection="1">
      <alignment horizontal="left" wrapText="1"/>
    </xf>
    <xf numFmtId="0" fontId="7" fillId="0" borderId="0" xfId="0" applyFont="1" applyAlignment="1" applyProtection="1">
      <alignment horizontal="center"/>
    </xf>
    <xf numFmtId="0" fontId="3" fillId="0" borderId="0" xfId="0" applyFont="1" applyAlignment="1" applyProtection="1"/>
    <xf numFmtId="0" fontId="39" fillId="0" borderId="0" xfId="0" applyFont="1" applyAlignment="1" applyProtection="1">
      <alignment horizontal="right"/>
    </xf>
    <xf numFmtId="0" fontId="36" fillId="0" borderId="0" xfId="0" applyFont="1" applyAlignment="1" applyProtection="1">
      <alignment horizontal="right"/>
    </xf>
    <xf numFmtId="0" fontId="54" fillId="6" borderId="0" xfId="0" applyFont="1" applyFill="1" applyProtection="1"/>
    <xf numFmtId="0" fontId="7" fillId="6" borderId="0" xfId="0" applyFont="1" applyFill="1" applyAlignment="1" applyProtection="1">
      <alignment vertical="center" wrapText="1"/>
    </xf>
    <xf numFmtId="0" fontId="7" fillId="0" borderId="19" xfId="0" applyFont="1" applyFill="1" applyBorder="1" applyAlignment="1" applyProtection="1">
      <alignment horizontal="left" vertical="center" wrapText="1"/>
    </xf>
    <xf numFmtId="0" fontId="7" fillId="6" borderId="0" xfId="0" applyFont="1" applyFill="1" applyBorder="1" applyAlignment="1" applyProtection="1">
      <alignment vertical="center"/>
    </xf>
    <xf numFmtId="0" fontId="7" fillId="4" borderId="21" xfId="0" applyFont="1" applyFill="1" applyBorder="1" applyAlignment="1" applyProtection="1">
      <alignment horizontal="center" vertical="center"/>
    </xf>
    <xf numFmtId="0" fontId="6" fillId="6" borderId="0" xfId="0" applyFont="1" applyFill="1" applyAlignment="1" applyProtection="1">
      <alignment vertical="center" wrapText="1"/>
    </xf>
    <xf numFmtId="0" fontId="6" fillId="4"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56" fillId="0"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4" fillId="6" borderId="19"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6" borderId="19"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indent="1"/>
    </xf>
    <xf numFmtId="0" fontId="7" fillId="6" borderId="21" xfId="0" applyFont="1" applyFill="1" applyBorder="1" applyAlignment="1" applyProtection="1">
      <alignment horizontal="left" vertical="center" indent="1"/>
    </xf>
    <xf numFmtId="0" fontId="7" fillId="0" borderId="21" xfId="0" applyFont="1" applyFill="1" applyBorder="1" applyAlignment="1" applyProtection="1">
      <alignment horizontal="left" vertical="center" wrapText="1" indent="1"/>
    </xf>
    <xf numFmtId="0" fontId="7" fillId="6" borderId="21" xfId="0" applyFont="1" applyFill="1" applyBorder="1" applyAlignment="1" applyProtection="1">
      <alignment horizontal="left" vertical="center" wrapText="1" indent="1"/>
    </xf>
    <xf numFmtId="0" fontId="6" fillId="0" borderId="21" xfId="0" applyFont="1" applyFill="1" applyBorder="1" applyAlignment="1" applyProtection="1">
      <alignment horizontal="center" vertical="center"/>
    </xf>
    <xf numFmtId="0" fontId="20" fillId="0" borderId="0" xfId="0" applyFont="1" applyFill="1" applyProtection="1"/>
    <xf numFmtId="0" fontId="65" fillId="6" borderId="0" xfId="0" applyFont="1" applyFill="1" applyProtection="1"/>
    <xf numFmtId="0" fontId="20" fillId="6" borderId="0" xfId="0" applyFont="1" applyFill="1" applyAlignment="1" applyProtection="1">
      <alignment horizontal="center"/>
    </xf>
    <xf numFmtId="0" fontId="7" fillId="0" borderId="19" xfId="0" applyFont="1" applyFill="1" applyBorder="1" applyAlignment="1" applyProtection="1">
      <alignment horizontal="left" vertical="center" wrapText="1" indent="1"/>
    </xf>
    <xf numFmtId="0" fontId="7" fillId="0" borderId="21" xfId="0" applyFont="1" applyFill="1" applyBorder="1" applyAlignment="1" applyProtection="1">
      <alignment horizontal="center" vertical="top"/>
    </xf>
    <xf numFmtId="0" fontId="7" fillId="6" borderId="21" xfId="0" applyFont="1" applyFill="1" applyBorder="1" applyAlignment="1" applyProtection="1">
      <alignment horizontal="center" vertical="top"/>
    </xf>
    <xf numFmtId="0" fontId="7" fillId="0" borderId="20" xfId="0" applyFont="1" applyFill="1" applyBorder="1" applyAlignment="1" applyProtection="1">
      <alignment horizontal="center" vertical="top"/>
    </xf>
    <xf numFmtId="0" fontId="7" fillId="0" borderId="20"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0" xfId="0" applyFont="1" applyBorder="1" applyProtection="1"/>
    <xf numFmtId="0" fontId="11" fillId="6" borderId="21" xfId="0" applyFont="1" applyFill="1" applyBorder="1" applyAlignment="1" applyProtection="1">
      <alignment horizontal="left" vertical="center"/>
    </xf>
    <xf numFmtId="0" fontId="39"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48" fillId="6" borderId="21" xfId="0" applyFont="1" applyFill="1" applyBorder="1" applyAlignment="1" applyProtection="1">
      <alignment horizontal="right" vertical="center"/>
    </xf>
    <xf numFmtId="0" fontId="38" fillId="0" borderId="0" xfId="0" applyFont="1" applyFill="1" applyAlignment="1" applyProtection="1">
      <alignment horizontal="right" vertical="top" wrapText="1"/>
    </xf>
    <xf numFmtId="0" fontId="5" fillId="3" borderId="0" xfId="0" applyFont="1" applyFill="1" applyBorder="1" applyProtection="1"/>
    <xf numFmtId="0" fontId="20" fillId="3" borderId="0" xfId="0" applyFont="1" applyFill="1" applyBorder="1" applyProtection="1"/>
    <xf numFmtId="0" fontId="7" fillId="3" borderId="0" xfId="0" applyFont="1" applyFill="1" applyBorder="1" applyAlignment="1" applyProtection="1">
      <alignment horizontal="center" vertical="center"/>
    </xf>
    <xf numFmtId="0" fontId="32"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wrapText="1"/>
    </xf>
    <xf numFmtId="0" fontId="32" fillId="3" borderId="0" xfId="0" applyFont="1" applyFill="1" applyBorder="1" applyAlignment="1" applyProtection="1">
      <alignment horizontal="left" vertical="center" wrapText="1" indent="2"/>
    </xf>
    <xf numFmtId="0" fontId="20" fillId="0" borderId="2" xfId="0" applyFont="1" applyBorder="1" applyProtection="1"/>
    <xf numFmtId="0" fontId="5" fillId="0" borderId="2" xfId="0" applyFont="1" applyBorder="1" applyProtection="1"/>
    <xf numFmtId="0" fontId="32" fillId="0" borderId="2" xfId="0" applyFont="1" applyBorder="1" applyAlignment="1" applyProtection="1">
      <alignment horizontal="left" vertical="center" wrapText="1" indent="2"/>
    </xf>
    <xf numFmtId="0" fontId="48" fillId="6" borderId="20" xfId="0" applyFont="1" applyFill="1" applyBorder="1" applyAlignment="1" applyProtection="1">
      <alignment horizontal="right" vertical="center"/>
    </xf>
    <xf numFmtId="0" fontId="6" fillId="6" borderId="20" xfId="0" applyFont="1" applyFill="1" applyBorder="1" applyAlignment="1" applyProtection="1">
      <alignment horizontal="center" vertical="center"/>
    </xf>
    <xf numFmtId="0" fontId="32" fillId="6" borderId="0" xfId="0" applyFont="1" applyFill="1" applyBorder="1" applyAlignment="1" applyProtection="1">
      <alignment horizontal="left" vertical="center" wrapText="1"/>
    </xf>
    <xf numFmtId="0" fontId="39" fillId="6" borderId="0" xfId="0" applyFont="1" applyFill="1" applyBorder="1" applyAlignment="1" applyProtection="1">
      <alignment horizontal="center"/>
    </xf>
    <xf numFmtId="0" fontId="48" fillId="6" borderId="0" xfId="0" applyFont="1" applyFill="1" applyBorder="1" applyAlignment="1" applyProtection="1">
      <alignment horizontal="right" vertical="center" wrapText="1"/>
    </xf>
    <xf numFmtId="0" fontId="3" fillId="0" borderId="0" xfId="0" applyFont="1" applyBorder="1" applyProtection="1"/>
    <xf numFmtId="0" fontId="48" fillId="6" borderId="0" xfId="0" applyFont="1" applyFill="1" applyBorder="1" applyAlignment="1" applyProtection="1">
      <alignment horizontal="right" vertical="center"/>
    </xf>
    <xf numFmtId="0" fontId="0" fillId="0" borderId="0" xfId="0" applyBorder="1" applyAlignment="1" applyProtection="1">
      <alignment wrapText="1"/>
    </xf>
    <xf numFmtId="0" fontId="7" fillId="6" borderId="0" xfId="0" applyFont="1" applyFill="1" applyAlignment="1" applyProtection="1">
      <alignment horizontal="right"/>
    </xf>
    <xf numFmtId="0" fontId="39" fillId="0" borderId="0" xfId="0" applyFont="1" applyAlignment="1" applyProtection="1">
      <alignment horizontal="center" wrapText="1"/>
    </xf>
    <xf numFmtId="0" fontId="7" fillId="0" borderId="0" xfId="0" applyFont="1" applyBorder="1" applyAlignment="1" applyProtection="1">
      <alignment horizontal="center" vertical="center" wrapText="1"/>
    </xf>
    <xf numFmtId="0" fontId="8" fillId="6" borderId="0" xfId="0" applyFont="1" applyFill="1" applyBorder="1" applyAlignment="1" applyProtection="1">
      <alignment horizontal="right"/>
    </xf>
    <xf numFmtId="0" fontId="2" fillId="0" borderId="2" xfId="0" applyFont="1" applyBorder="1" applyAlignment="1" applyProtection="1">
      <alignment wrapText="1"/>
      <protection locked="0"/>
    </xf>
    <xf numFmtId="0" fontId="2" fillId="0" borderId="2" xfId="0" applyFont="1" applyBorder="1" applyProtection="1">
      <protection locked="0"/>
    </xf>
    <xf numFmtId="0" fontId="7" fillId="0" borderId="2" xfId="0" applyFont="1" applyBorder="1" applyAlignment="1" applyProtection="1">
      <alignment horizontal="center" vertical="center"/>
      <protection locked="0"/>
    </xf>
    <xf numFmtId="0" fontId="32"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32" fillId="0" borderId="0" xfId="0" applyFont="1" applyAlignment="1" applyProtection="1">
      <alignment horizontal="left" vertical="center" wrapText="1"/>
      <protection locked="0"/>
    </xf>
    <xf numFmtId="0" fontId="30" fillId="0" borderId="0" xfId="0" applyFont="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21" fillId="6" borderId="0" xfId="0" applyFont="1" applyFill="1" applyAlignment="1" applyProtection="1">
      <alignment horizontal="center"/>
    </xf>
    <xf numFmtId="0" fontId="21" fillId="0" borderId="0" xfId="0" applyFont="1" applyProtection="1"/>
    <xf numFmtId="0" fontId="0" fillId="6" borderId="0" xfId="0" applyFill="1" applyBorder="1" applyProtection="1"/>
    <xf numFmtId="0" fontId="13" fillId="6" borderId="0" xfId="0" applyFont="1" applyFill="1" applyProtection="1"/>
    <xf numFmtId="0" fontId="12" fillId="6" borderId="0" xfId="0" applyFont="1" applyFill="1" applyBorder="1" applyAlignment="1" applyProtection="1"/>
    <xf numFmtId="0" fontId="13" fillId="6" borderId="0" xfId="0" applyFont="1" applyFill="1" applyBorder="1" applyAlignment="1" applyProtection="1">
      <alignment horizontal="left"/>
    </xf>
    <xf numFmtId="0" fontId="12" fillId="6" borderId="0" xfId="0" applyFont="1" applyFill="1" applyBorder="1" applyProtection="1"/>
    <xf numFmtId="0" fontId="21" fillId="3" borderId="0" xfId="0" applyFont="1" applyFill="1" applyProtection="1"/>
    <xf numFmtId="0" fontId="35" fillId="6" borderId="0" xfId="0" applyFont="1" applyFill="1" applyAlignment="1" applyProtection="1">
      <alignment horizontal="center"/>
    </xf>
    <xf numFmtId="0" fontId="35" fillId="0" borderId="0" xfId="0" applyFont="1" applyProtection="1"/>
    <xf numFmtId="0" fontId="6" fillId="6" borderId="48" xfId="0" applyFont="1" applyFill="1" applyBorder="1" applyAlignment="1" applyProtection="1">
      <alignment horizontal="center" vertical="center"/>
    </xf>
    <xf numFmtId="0" fontId="28" fillId="6" borderId="0" xfId="0" applyFont="1" applyFill="1" applyAlignment="1" applyProtection="1">
      <alignment horizontal="center" vertical="center"/>
    </xf>
    <xf numFmtId="0" fontId="20" fillId="0" borderId="0" xfId="0" applyFont="1" applyFill="1" applyAlignment="1" applyProtection="1">
      <alignment vertical="center"/>
    </xf>
    <xf numFmtId="0" fontId="65" fillId="6" borderId="0" xfId="0" applyFont="1" applyFill="1" applyAlignment="1" applyProtection="1">
      <alignment vertical="center"/>
    </xf>
    <xf numFmtId="0" fontId="20"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11" fillId="0" borderId="21"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indent="2"/>
    </xf>
    <xf numFmtId="0" fontId="8" fillId="0" borderId="0" xfId="0" applyFont="1" applyAlignment="1" applyProtection="1">
      <alignment vertical="center"/>
    </xf>
    <xf numFmtId="0" fontId="62" fillId="6" borderId="0" xfId="0" applyFont="1" applyFill="1" applyAlignment="1" applyProtection="1">
      <alignment vertical="center"/>
    </xf>
    <xf numFmtId="0" fontId="7" fillId="6" borderId="21" xfId="0" applyFont="1" applyFill="1" applyBorder="1" applyAlignment="1" applyProtection="1">
      <alignment horizontal="left" vertical="center" wrapText="1" indent="2"/>
    </xf>
    <xf numFmtId="0" fontId="7" fillId="6" borderId="21" xfId="0" applyFont="1" applyFill="1" applyBorder="1" applyAlignment="1" applyProtection="1">
      <alignment horizontal="left" vertical="center" indent="2"/>
    </xf>
    <xf numFmtId="0" fontId="7" fillId="0" borderId="49" xfId="0" applyFont="1" applyFill="1" applyBorder="1" applyAlignment="1" applyProtection="1">
      <alignment horizontal="left" vertical="center" indent="2"/>
    </xf>
    <xf numFmtId="0" fontId="7" fillId="6" borderId="49" xfId="0" applyFont="1" applyFill="1" applyBorder="1" applyAlignment="1" applyProtection="1">
      <alignment horizontal="left" vertical="center" indent="2"/>
    </xf>
    <xf numFmtId="0" fontId="11" fillId="6" borderId="49" xfId="0" applyFont="1" applyFill="1" applyBorder="1" applyAlignment="1" applyProtection="1">
      <alignment horizontal="left" vertical="center" wrapText="1"/>
    </xf>
    <xf numFmtId="0" fontId="11" fillId="6" borderId="49" xfId="0" applyFont="1" applyFill="1" applyBorder="1" applyAlignment="1" applyProtection="1">
      <alignment horizontal="left" vertical="center"/>
    </xf>
    <xf numFmtId="0" fontId="7" fillId="6" borderId="49" xfId="0" applyFont="1" applyFill="1" applyBorder="1" applyAlignment="1" applyProtection="1">
      <alignment horizontal="center" vertical="center" wrapText="1"/>
    </xf>
    <xf numFmtId="0" fontId="20" fillId="0" borderId="0" xfId="0" applyFont="1" applyProtection="1"/>
    <xf numFmtId="0" fontId="7"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7" fillId="6" borderId="0" xfId="0" applyFont="1" applyFill="1" applyAlignment="1" applyProtection="1">
      <alignment horizontal="left" vertical="top" wrapText="1"/>
    </xf>
    <xf numFmtId="0" fontId="59" fillId="6" borderId="21" xfId="0" applyFont="1" applyFill="1" applyBorder="1" applyAlignment="1" applyProtection="1">
      <alignment horizontal="left" vertical="center" wrapText="1"/>
    </xf>
    <xf numFmtId="0" fontId="6" fillId="6" borderId="21" xfId="0" applyFont="1" applyFill="1" applyBorder="1" applyAlignment="1" applyProtection="1">
      <alignment horizontal="right" vertical="center" wrapText="1"/>
    </xf>
    <xf numFmtId="0" fontId="35" fillId="0" borderId="0" xfId="0" applyFont="1" applyBorder="1" applyProtection="1"/>
    <xf numFmtId="0" fontId="39" fillId="0" borderId="0" xfId="0" applyFont="1" applyFill="1" applyAlignment="1" applyProtection="1">
      <alignment horizontal="center" wrapText="1"/>
    </xf>
    <xf numFmtId="0" fontId="7" fillId="4" borderId="0" xfId="0" applyFont="1" applyFill="1" applyBorder="1" applyAlignment="1" applyProtection="1">
      <alignment horizontal="center" vertical="top" wrapText="1"/>
    </xf>
    <xf numFmtId="0" fontId="39" fillId="6" borderId="0" xfId="0" applyFont="1" applyFill="1" applyAlignment="1" applyProtection="1">
      <alignment horizontal="left" vertical="top" wrapText="1"/>
    </xf>
    <xf numFmtId="0" fontId="48" fillId="6" borderId="20" xfId="0" applyFont="1" applyFill="1" applyBorder="1" applyAlignment="1" applyProtection="1">
      <alignment horizontal="right" wrapText="1"/>
    </xf>
    <xf numFmtId="0" fontId="39" fillId="0" borderId="0" xfId="0" applyFont="1" applyFill="1" applyAlignment="1" applyProtection="1">
      <alignment horizontal="center" vertical="center" wrapText="1"/>
    </xf>
    <xf numFmtId="0" fontId="39" fillId="4" borderId="0" xfId="0" applyFont="1" applyFill="1" applyAlignment="1" applyProtection="1">
      <alignment horizontal="left" vertical="top" wrapText="1"/>
    </xf>
    <xf numFmtId="0" fontId="7" fillId="6" borderId="21" xfId="0" applyFont="1" applyFill="1" applyBorder="1" applyAlignment="1" applyProtection="1">
      <alignment horizontal="right" vertical="center" wrapText="1"/>
    </xf>
    <xf numFmtId="0" fontId="7" fillId="4" borderId="0" xfId="0" applyFont="1" applyFill="1" applyBorder="1" applyAlignment="1" applyProtection="1">
      <alignment horizontal="center" vertical="center"/>
    </xf>
    <xf numFmtId="0" fontId="7" fillId="6"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6" borderId="0" xfId="0" applyFont="1" applyFill="1" applyAlignment="1" applyProtection="1">
      <alignment horizontal="left" vertical="top" wrapText="1"/>
    </xf>
    <xf numFmtId="0" fontId="3" fillId="6" borderId="0" xfId="0" applyFont="1" applyFill="1" applyBorder="1" applyAlignment="1" applyProtection="1">
      <alignment wrapText="1"/>
    </xf>
    <xf numFmtId="0" fontId="4" fillId="6" borderId="51" xfId="0" applyFont="1" applyFill="1" applyBorder="1" applyProtection="1"/>
    <xf numFmtId="0" fontId="4" fillId="6" borderId="52" xfId="0" applyFont="1" applyFill="1" applyBorder="1" applyProtection="1"/>
    <xf numFmtId="0" fontId="3" fillId="6" borderId="52" xfId="0" applyFont="1" applyFill="1" applyBorder="1" applyProtection="1"/>
    <xf numFmtId="0" fontId="7" fillId="6" borderId="52" xfId="0" applyFont="1" applyFill="1" applyBorder="1" applyAlignment="1" applyProtection="1">
      <alignment horizontal="center" vertical="center"/>
    </xf>
    <xf numFmtId="0" fontId="32" fillId="6" borderId="52" xfId="0" applyFont="1" applyFill="1" applyBorder="1" applyAlignment="1" applyProtection="1">
      <alignment horizontal="left" vertical="center" wrapText="1"/>
    </xf>
    <xf numFmtId="0" fontId="7" fillId="6" borderId="52" xfId="0" applyFont="1" applyFill="1" applyBorder="1" applyAlignment="1" applyProtection="1">
      <alignment horizontal="center" vertical="center" wrapText="1"/>
    </xf>
    <xf numFmtId="0" fontId="32" fillId="6" borderId="52" xfId="0" applyFont="1" applyFill="1" applyBorder="1" applyAlignment="1" applyProtection="1">
      <alignment horizontal="left" vertical="center" wrapText="1" indent="2"/>
    </xf>
    <xf numFmtId="0" fontId="0" fillId="6" borderId="53" xfId="0"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2" fillId="0" borderId="0" xfId="0" applyFont="1" applyAlignment="1" applyProtection="1">
      <alignment horizontal="left" vertical="center" wrapText="1" indent="2"/>
    </xf>
    <xf numFmtId="0" fontId="21" fillId="2" borderId="0" xfId="0" applyFont="1" applyFill="1" applyProtection="1"/>
    <xf numFmtId="0" fontId="13" fillId="6" borderId="0" xfId="0" applyFont="1" applyFill="1" applyBorder="1" applyAlignment="1" applyProtection="1"/>
    <xf numFmtId="0" fontId="30" fillId="0" borderId="0" xfId="0" applyFont="1" applyBorder="1" applyAlignment="1" applyProtection="1">
      <alignment horizontal="center" vertical="center"/>
    </xf>
    <xf numFmtId="0" fontId="6" fillId="6" borderId="54" xfId="0" applyFont="1" applyFill="1" applyBorder="1" applyAlignment="1" applyProtection="1">
      <alignment horizontal="center" vertical="center"/>
    </xf>
    <xf numFmtId="0" fontId="6" fillId="0" borderId="21" xfId="0" applyFont="1" applyFill="1" applyBorder="1" applyAlignment="1" applyProtection="1">
      <alignment horizontal="justify" vertical="center" wrapText="1"/>
    </xf>
    <xf numFmtId="0" fontId="6" fillId="6" borderId="21" xfId="0" applyFont="1" applyFill="1" applyBorder="1" applyAlignment="1" applyProtection="1">
      <alignment horizontal="justify" vertical="center" wrapText="1"/>
    </xf>
    <xf numFmtId="0" fontId="7" fillId="6" borderId="55" xfId="0" applyFont="1" applyFill="1" applyBorder="1" applyAlignment="1" applyProtection="1">
      <alignment horizontal="center" vertical="center"/>
    </xf>
    <xf numFmtId="0" fontId="7" fillId="6" borderId="56" xfId="0" applyFont="1" applyFill="1" applyBorder="1" applyAlignment="1" applyProtection="1">
      <alignment horizontal="right" vertical="center" wrapText="1"/>
    </xf>
    <xf numFmtId="0" fontId="11" fillId="0" borderId="21" xfId="0" applyFont="1" applyFill="1" applyBorder="1" applyAlignment="1" applyProtection="1">
      <alignment vertical="center" wrapText="1"/>
    </xf>
    <xf numFmtId="0" fontId="7" fillId="0" borderId="21" xfId="0" applyFont="1" applyFill="1" applyBorder="1" applyAlignment="1" applyProtection="1">
      <alignment horizontal="justify" vertical="center" wrapText="1"/>
    </xf>
    <xf numFmtId="0" fontId="7" fillId="6" borderId="21" xfId="0" applyFont="1" applyFill="1" applyBorder="1" applyAlignment="1" applyProtection="1">
      <alignment horizontal="justify" vertical="center" wrapText="1"/>
    </xf>
    <xf numFmtId="0" fontId="7" fillId="6" borderId="0" xfId="0" applyFont="1" applyFill="1" applyBorder="1" applyAlignment="1" applyProtection="1">
      <alignment horizontal="right" vertical="center" wrapText="1"/>
    </xf>
    <xf numFmtId="0" fontId="7" fillId="0" borderId="20" xfId="0" applyFont="1" applyFill="1" applyBorder="1" applyAlignment="1" applyProtection="1">
      <alignment horizontal="justify" vertical="center" wrapText="1"/>
    </xf>
    <xf numFmtId="0" fontId="7" fillId="6" borderId="20" xfId="0" applyFont="1" applyFill="1" applyBorder="1" applyAlignment="1" applyProtection="1">
      <alignment horizontal="justify" vertical="center" wrapText="1"/>
    </xf>
    <xf numFmtId="0" fontId="7" fillId="6" borderId="5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indent="2"/>
    </xf>
    <xf numFmtId="0" fontId="6" fillId="6" borderId="0" xfId="0" applyFont="1" applyFill="1" applyBorder="1" applyAlignment="1" applyProtection="1">
      <alignment horizontal="center" vertical="center"/>
    </xf>
    <xf numFmtId="0" fontId="7" fillId="6" borderId="58" xfId="0" applyFont="1" applyFill="1" applyBorder="1" applyAlignment="1" applyProtection="1">
      <alignment horizontal="left" vertical="center" wrapText="1" indent="2"/>
    </xf>
    <xf numFmtId="0" fontId="0" fillId="6" borderId="56" xfId="0" applyFill="1" applyBorder="1" applyProtection="1"/>
    <xf numFmtId="0" fontId="7"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48" fillId="6" borderId="21" xfId="0" applyFont="1" applyFill="1" applyBorder="1" applyAlignment="1" applyProtection="1">
      <alignment horizontal="right" wrapText="1"/>
    </xf>
    <xf numFmtId="0" fontId="7" fillId="6" borderId="59" xfId="0" applyFont="1" applyFill="1" applyBorder="1" applyProtection="1"/>
    <xf numFmtId="0" fontId="7" fillId="6" borderId="25" xfId="0" applyFont="1" applyFill="1" applyBorder="1" applyProtection="1"/>
    <xf numFmtId="0" fontId="7" fillId="6" borderId="60" xfId="0" applyFont="1" applyFill="1" applyBorder="1" applyProtection="1"/>
    <xf numFmtId="0" fontId="7" fillId="6" borderId="60" xfId="0" applyFont="1" applyFill="1" applyBorder="1" applyAlignment="1" applyProtection="1">
      <alignment horizontal="center" vertical="center"/>
    </xf>
    <xf numFmtId="0" fontId="7" fillId="6" borderId="61" xfId="0" applyFont="1" applyFill="1" applyBorder="1" applyAlignment="1" applyProtection="1">
      <alignment horizontal="center" vertical="center"/>
    </xf>
    <xf numFmtId="0" fontId="7" fillId="6" borderId="59" xfId="0" applyFont="1" applyFill="1" applyBorder="1" applyAlignment="1" applyProtection="1">
      <alignment horizontal="center" vertical="center"/>
    </xf>
    <xf numFmtId="0" fontId="39" fillId="6" borderId="0" xfId="0" applyFont="1" applyFill="1" applyBorder="1" applyAlignment="1" applyProtection="1">
      <alignment vertical="top" wrapText="1"/>
    </xf>
    <xf numFmtId="0" fontId="7" fillId="6" borderId="49" xfId="0" applyFont="1" applyFill="1" applyBorder="1" applyProtection="1"/>
    <xf numFmtId="0" fontId="7" fillId="6" borderId="56" xfId="0" applyFont="1" applyFill="1" applyBorder="1" applyProtection="1"/>
    <xf numFmtId="0" fontId="7" fillId="6" borderId="56" xfId="0" applyFont="1" applyFill="1" applyBorder="1" applyAlignment="1" applyProtection="1">
      <alignment horizontal="center" vertical="center"/>
    </xf>
    <xf numFmtId="0" fontId="7" fillId="6" borderId="62" xfId="0" applyFont="1" applyFill="1" applyBorder="1" applyAlignment="1" applyProtection="1">
      <alignment horizontal="center" vertical="center"/>
    </xf>
    <xf numFmtId="0" fontId="7" fillId="0" borderId="0" xfId="0" applyFont="1" applyFill="1" applyBorder="1" applyAlignment="1" applyProtection="1">
      <alignment horizontal="justify" vertical="center" wrapText="1"/>
    </xf>
    <xf numFmtId="0" fontId="48" fillId="6" borderId="25" xfId="0" applyFont="1" applyFill="1" applyBorder="1" applyAlignment="1" applyProtection="1">
      <alignment horizontal="right" vertical="center" wrapText="1"/>
    </xf>
    <xf numFmtId="0" fontId="0" fillId="0" borderId="0" xfId="0" applyAlignment="1" applyProtection="1">
      <alignment horizontal="center" vertical="center"/>
    </xf>
    <xf numFmtId="0" fontId="7" fillId="6" borderId="19" xfId="0" applyFont="1" applyFill="1" applyBorder="1" applyProtection="1"/>
    <xf numFmtId="0" fontId="7" fillId="6" borderId="62" xfId="0" applyFont="1" applyFill="1" applyBorder="1" applyProtection="1"/>
    <xf numFmtId="0" fontId="7" fillId="6" borderId="0" xfId="0" applyFont="1" applyFill="1" applyAlignment="1" applyProtection="1">
      <alignment horizontal="center" vertical="center"/>
    </xf>
    <xf numFmtId="0" fontId="7" fillId="6" borderId="63" xfId="0" applyFont="1" applyFill="1" applyBorder="1" applyProtection="1"/>
    <xf numFmtId="0" fontId="7" fillId="6" borderId="64" xfId="0" applyFont="1" applyFill="1" applyBorder="1" applyProtection="1"/>
    <xf numFmtId="0" fontId="7" fillId="6" borderId="21" xfId="0" applyFont="1" applyFill="1" applyBorder="1" applyProtection="1"/>
    <xf numFmtId="0" fontId="7" fillId="6" borderId="65" xfId="0" applyFont="1" applyFill="1" applyBorder="1" applyAlignment="1" applyProtection="1">
      <alignment horizontal="center" vertical="center"/>
    </xf>
    <xf numFmtId="0" fontId="7" fillId="6" borderId="64" xfId="0" applyFont="1" applyFill="1" applyBorder="1" applyAlignment="1" applyProtection="1">
      <alignment horizontal="center" vertical="center"/>
    </xf>
    <xf numFmtId="0" fontId="7" fillId="6" borderId="66" xfId="0" applyFont="1" applyFill="1" applyBorder="1" applyAlignment="1" applyProtection="1">
      <alignment horizontal="center" vertical="center"/>
    </xf>
    <xf numFmtId="0" fontId="7" fillId="6" borderId="67" xfId="0" applyFont="1" applyFill="1" applyBorder="1" applyAlignment="1" applyProtection="1">
      <alignment horizontal="center" vertical="center"/>
    </xf>
    <xf numFmtId="0" fontId="7" fillId="6" borderId="0" xfId="0" applyFont="1" applyFill="1" applyBorder="1" applyProtection="1"/>
    <xf numFmtId="0" fontId="7" fillId="6" borderId="58" xfId="0" applyFont="1" applyFill="1" applyBorder="1" applyProtection="1"/>
    <xf numFmtId="0" fontId="54" fillId="6" borderId="0" xfId="0" applyFont="1" applyFill="1" applyBorder="1" applyProtection="1"/>
    <xf numFmtId="0" fontId="34" fillId="6" borderId="0"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7" fillId="6" borderId="0" xfId="0" applyFont="1" applyFill="1" applyBorder="1" applyAlignment="1" applyProtection="1">
      <alignment horizontal="right" vertical="center" wrapText="1" indent="2"/>
    </xf>
    <xf numFmtId="0" fontId="48" fillId="6" borderId="0" xfId="0" applyFont="1" applyFill="1" applyBorder="1" applyAlignment="1" applyProtection="1">
      <alignment horizontal="center" vertical="center"/>
    </xf>
    <xf numFmtId="0" fontId="64" fillId="6" borderId="0" xfId="0" applyFont="1" applyFill="1" applyBorder="1" applyProtection="1"/>
    <xf numFmtId="0" fontId="32" fillId="2" borderId="0" xfId="0" applyFont="1" applyFill="1" applyBorder="1" applyAlignment="1" applyProtection="1">
      <alignment horizontal="left" vertical="center" wrapText="1"/>
    </xf>
    <xf numFmtId="0" fontId="8" fillId="0" borderId="0" xfId="0" applyFont="1" applyProtection="1"/>
    <xf numFmtId="0" fontId="7" fillId="0" borderId="0" xfId="0" applyFont="1" applyAlignment="1" applyProtection="1">
      <alignment horizontal="left" wrapText="1"/>
    </xf>
    <xf numFmtId="0" fontId="7" fillId="0" borderId="0" xfId="0" applyFont="1" applyAlignment="1" applyProtection="1"/>
    <xf numFmtId="0" fontId="6" fillId="0" borderId="19"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1" fillId="0" borderId="21" xfId="0" applyFont="1" applyFill="1" applyBorder="1" applyAlignment="1" applyProtection="1">
      <alignment horizontal="left" vertical="center" wrapText="1" indent="4"/>
    </xf>
    <xf numFmtId="0" fontId="11" fillId="6" borderId="21" xfId="0" applyFont="1" applyFill="1" applyBorder="1" applyAlignment="1" applyProtection="1">
      <alignment horizontal="left" vertical="center" wrapText="1" indent="4"/>
    </xf>
    <xf numFmtId="0" fontId="39" fillId="0" borderId="0" xfId="0" applyFont="1" applyFill="1" applyAlignment="1" applyProtection="1">
      <alignment vertical="top" wrapText="1"/>
    </xf>
    <xf numFmtId="0" fontId="51" fillId="6" borderId="21" xfId="0" applyFont="1" applyFill="1" applyBorder="1" applyAlignment="1" applyProtection="1">
      <alignment horizontal="right" vertical="center" wrapText="1"/>
    </xf>
    <xf numFmtId="0" fontId="7" fillId="0" borderId="68" xfId="0" applyFont="1" applyFill="1" applyBorder="1" applyAlignment="1" applyProtection="1">
      <alignment vertical="center" wrapText="1"/>
    </xf>
    <xf numFmtId="0" fontId="8" fillId="0" borderId="0" xfId="0" applyFont="1" applyAlignment="1" applyProtection="1">
      <alignment wrapText="1"/>
    </xf>
    <xf numFmtId="0" fontId="39" fillId="0" borderId="0" xfId="0" applyFont="1" applyFill="1" applyBorder="1" applyAlignment="1" applyProtection="1">
      <alignment horizontal="right" vertical="center" wrapText="1"/>
    </xf>
    <xf numFmtId="0" fontId="39" fillId="0" borderId="58" xfId="0" applyFont="1" applyFill="1" applyBorder="1" applyAlignment="1" applyProtection="1">
      <alignment vertical="center" wrapText="1"/>
    </xf>
    <xf numFmtId="0" fontId="8" fillId="0" borderId="0" xfId="0" applyFont="1" applyFill="1" applyBorder="1" applyAlignment="1" applyProtection="1">
      <alignment wrapText="1"/>
    </xf>
    <xf numFmtId="0" fontId="8" fillId="0" borderId="0" xfId="0" applyFont="1" applyBorder="1" applyAlignment="1" applyProtection="1">
      <alignment wrapText="1"/>
    </xf>
    <xf numFmtId="0" fontId="7" fillId="8" borderId="22"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8" fillId="0" borderId="58" xfId="0" applyFont="1" applyBorder="1" applyProtection="1"/>
    <xf numFmtId="0" fontId="8" fillId="0" borderId="2" xfId="0" applyFont="1" applyBorder="1" applyAlignment="1" applyProtection="1">
      <alignment wrapText="1"/>
    </xf>
    <xf numFmtId="0" fontId="7" fillId="0" borderId="0" xfId="0" applyFont="1" applyBorder="1" applyAlignment="1" applyProtection="1">
      <alignment vertical="center" wrapText="1"/>
    </xf>
    <xf numFmtId="0" fontId="39" fillId="0" borderId="0" xfId="0" applyFont="1" applyAlignment="1" applyProtection="1">
      <alignment horizontal="center" vertical="center" wrapText="1"/>
    </xf>
    <xf numFmtId="0" fontId="8" fillId="0" borderId="52" xfId="0" applyFont="1" applyBorder="1" applyAlignment="1" applyProtection="1">
      <alignment wrapText="1"/>
    </xf>
    <xf numFmtId="0" fontId="8" fillId="0" borderId="0" xfId="0" applyFont="1" applyFill="1" applyBorder="1" applyAlignment="1" applyProtection="1">
      <alignment horizontal="center" wrapText="1"/>
    </xf>
    <xf numFmtId="0" fontId="8" fillId="0" borderId="0" xfId="0" applyFont="1" applyFill="1" applyAlignment="1" applyProtection="1">
      <alignment wrapText="1"/>
    </xf>
    <xf numFmtId="0" fontId="7" fillId="0" borderId="0" xfId="0" applyFont="1" applyAlignment="1" applyProtection="1">
      <alignment horizontal="left" vertical="center" wrapText="1"/>
    </xf>
    <xf numFmtId="0" fontId="6" fillId="6" borderId="19" xfId="0" applyFont="1" applyFill="1" applyBorder="1" applyAlignment="1" applyProtection="1">
      <alignment horizontal="right" vertical="center" wrapText="1"/>
    </xf>
    <xf numFmtId="0" fontId="3" fillId="0" borderId="69" xfId="0" applyFont="1" applyBorder="1" applyAlignment="1" applyProtection="1">
      <alignment horizontal="center" vertical="center"/>
      <protection locked="0"/>
    </xf>
    <xf numFmtId="0" fontId="8" fillId="0" borderId="0" xfId="0" applyFont="1" applyFill="1" applyBorder="1" applyAlignment="1">
      <alignment wrapText="1"/>
    </xf>
    <xf numFmtId="0" fontId="21" fillId="13" borderId="0" xfId="0" applyFont="1" applyFill="1" applyProtection="1"/>
    <xf numFmtId="0" fontId="0" fillId="0" borderId="24" xfId="0"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6" fillId="0" borderId="24" xfId="0" applyFont="1" applyFill="1" applyBorder="1" applyAlignment="1" applyProtection="1">
      <alignment horizontal="left" vertical="top" wrapText="1"/>
    </xf>
    <xf numFmtId="0" fontId="6" fillId="0" borderId="24" xfId="0" applyFont="1" applyFill="1" applyBorder="1" applyAlignment="1" applyProtection="1">
      <alignment horizontal="center" vertical="center" wrapText="1"/>
    </xf>
    <xf numFmtId="0" fontId="12" fillId="0" borderId="2" xfId="0" applyFont="1" applyFill="1" applyBorder="1" applyAlignment="1" applyProtection="1">
      <alignment horizontal="center"/>
      <protection locked="0"/>
    </xf>
    <xf numFmtId="0" fontId="7" fillId="0" borderId="21"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3" fillId="0" borderId="70" xfId="0" applyFont="1" applyBorder="1" applyAlignment="1" applyProtection="1">
      <alignment horizontal="center"/>
      <protection locked="0"/>
    </xf>
    <xf numFmtId="0" fontId="3" fillId="0" borderId="71" xfId="0" applyFont="1" applyBorder="1" applyAlignment="1" applyProtection="1">
      <alignment horizontal="center"/>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3" fillId="0" borderId="72" xfId="0" applyFont="1" applyBorder="1" applyAlignment="1" applyProtection="1">
      <alignment horizontal="center"/>
      <protection locked="0"/>
    </xf>
    <xf numFmtId="0" fontId="7" fillId="0" borderId="19"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3" fillId="0" borderId="73" xfId="0" applyFont="1" applyBorder="1" applyAlignment="1" applyProtection="1">
      <alignment horizontal="center"/>
      <protection locked="0"/>
    </xf>
    <xf numFmtId="0" fontId="7" fillId="0" borderId="49" xfId="0" applyFont="1" applyFill="1" applyBorder="1" applyAlignment="1" applyProtection="1">
      <alignment horizontal="center" vertical="center" wrapText="1"/>
      <protection locked="0"/>
    </xf>
    <xf numFmtId="0" fontId="3" fillId="0" borderId="68" xfId="0" applyFont="1" applyBorder="1" applyAlignment="1" applyProtection="1">
      <alignment horizontal="center"/>
      <protection locked="0"/>
    </xf>
    <xf numFmtId="0" fontId="12" fillId="0" borderId="2" xfId="0" applyFont="1" applyFill="1" applyBorder="1" applyAlignment="1" applyProtection="1">
      <alignment horizontal="center" wrapText="1"/>
      <protection locked="0"/>
    </xf>
    <xf numFmtId="0" fontId="32" fillId="0" borderId="19" xfId="0" applyFont="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2" fillId="0" borderId="21" xfId="0" applyFont="1" applyFill="1" applyBorder="1" applyAlignment="1" applyProtection="1">
      <alignment horizontal="left" vertical="center" wrapText="1"/>
      <protection locked="0"/>
    </xf>
    <xf numFmtId="0" fontId="32" fillId="0" borderId="49" xfId="0" applyFont="1" applyFill="1" applyBorder="1" applyAlignment="1" applyProtection="1">
      <alignment horizontal="left" vertical="center" wrapText="1"/>
      <protection locked="0"/>
    </xf>
    <xf numFmtId="0" fontId="32" fillId="0" borderId="20"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49"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1" fontId="32" fillId="0" borderId="20" xfId="0" applyNumberFormat="1"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1" fontId="7" fillId="0" borderId="20" xfId="0" applyNumberFormat="1" applyFont="1" applyFill="1" applyBorder="1" applyAlignment="1" applyProtection="1">
      <alignment horizontal="center" vertical="center"/>
      <protection locked="0"/>
    </xf>
    <xf numFmtId="0" fontId="7" fillId="14" borderId="19" xfId="0" applyFont="1" applyFill="1" applyBorder="1" applyAlignment="1" applyProtection="1">
      <alignment horizontal="center" vertical="center" wrapText="1"/>
      <protection locked="0"/>
    </xf>
    <xf numFmtId="0" fontId="32" fillId="14" borderId="19" xfId="0" applyFont="1" applyFill="1" applyBorder="1" applyAlignment="1" applyProtection="1">
      <alignment horizontal="left"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0" fontId="11" fillId="14" borderId="19" xfId="0" applyFont="1" applyFill="1" applyBorder="1" applyAlignment="1" applyProtection="1">
      <alignment horizontal="left" vertical="center" wrapText="1"/>
    </xf>
    <xf numFmtId="0" fontId="7" fillId="14" borderId="21" xfId="0" applyFont="1" applyFill="1" applyBorder="1" applyAlignment="1" applyProtection="1">
      <alignment horizontal="center" vertical="center"/>
    </xf>
    <xf numFmtId="0" fontId="7" fillId="14" borderId="49" xfId="0" applyFont="1" applyFill="1" applyBorder="1" applyAlignment="1" applyProtection="1">
      <alignment horizontal="right" wrapText="1"/>
      <protection locked="0"/>
    </xf>
    <xf numFmtId="0" fontId="32" fillId="14" borderId="49" xfId="0" applyFont="1" applyFill="1" applyBorder="1" applyAlignment="1" applyProtection="1">
      <alignment horizontal="center" vertical="center" wrapText="1"/>
      <protection locked="0"/>
    </xf>
    <xf numFmtId="0" fontId="42" fillId="6" borderId="0" xfId="0" applyFont="1" applyFill="1" applyProtection="1"/>
    <xf numFmtId="0" fontId="21" fillId="6" borderId="0" xfId="0" applyFont="1" applyFill="1" applyProtection="1"/>
    <xf numFmtId="0" fontId="34" fillId="10" borderId="74" xfId="0" applyNumberFormat="1" applyFont="1" applyFill="1" applyBorder="1" applyAlignment="1" applyProtection="1">
      <alignment horizontal="left" vertical="center"/>
    </xf>
    <xf numFmtId="0" fontId="6" fillId="10" borderId="74" xfId="0" applyNumberFormat="1" applyFont="1" applyFill="1" applyBorder="1" applyAlignment="1" applyProtection="1">
      <alignment horizontal="center" vertical="center"/>
    </xf>
    <xf numFmtId="0" fontId="66" fillId="10" borderId="74" xfId="0" applyNumberFormat="1" applyFont="1" applyFill="1" applyBorder="1" applyAlignment="1" applyProtection="1">
      <alignment horizontal="left" vertical="center"/>
    </xf>
    <xf numFmtId="0" fontId="0" fillId="6" borderId="21" xfId="0" applyFill="1" applyBorder="1" applyProtection="1"/>
    <xf numFmtId="0" fontId="6" fillId="10" borderId="74" xfId="0" applyNumberFormat="1" applyFont="1" applyFill="1" applyBorder="1" applyAlignment="1" applyProtection="1">
      <alignment horizontal="center" vertical="center"/>
      <protection locked="0"/>
    </xf>
    <xf numFmtId="0" fontId="34" fillId="10" borderId="74" xfId="0" applyNumberFormat="1" applyFont="1" applyFill="1" applyBorder="1" applyAlignment="1" applyProtection="1">
      <alignment horizontal="left" vertical="center"/>
      <protection locked="0"/>
    </xf>
    <xf numFmtId="0" fontId="66" fillId="10" borderId="74" xfId="0" applyNumberFormat="1" applyFont="1" applyFill="1" applyBorder="1" applyAlignment="1" applyProtection="1">
      <alignment horizontal="left" vertical="center"/>
      <protection locked="0"/>
    </xf>
    <xf numFmtId="0" fontId="12" fillId="0" borderId="2" xfId="0" applyFont="1" applyBorder="1" applyAlignment="1" applyProtection="1"/>
    <xf numFmtId="0" fontId="12" fillId="0" borderId="2" xfId="0" applyFont="1" applyBorder="1" applyAlignment="1" applyProtection="1">
      <alignment horizontal="center"/>
    </xf>
    <xf numFmtId="0" fontId="14" fillId="0" borderId="2" xfId="0" applyFont="1" applyBorder="1" applyAlignment="1" applyProtection="1"/>
    <xf numFmtId="0" fontId="67" fillId="6" borderId="0" xfId="0" applyFont="1" applyFill="1" applyAlignment="1" applyProtection="1">
      <alignment horizontal="center"/>
    </xf>
    <xf numFmtId="0" fontId="67" fillId="3" borderId="0" xfId="0" applyFont="1" applyFill="1" applyBorder="1" applyProtection="1"/>
    <xf numFmtId="0" fontId="67" fillId="0" borderId="0" xfId="0" applyFont="1" applyFill="1" applyProtection="1"/>
    <xf numFmtId="0" fontId="67" fillId="6" borderId="0" xfId="0" applyFont="1" applyFill="1" applyProtection="1"/>
    <xf numFmtId="0" fontId="67" fillId="0" borderId="0" xfId="0" applyFont="1" applyProtection="1"/>
    <xf numFmtId="0" fontId="67" fillId="6" borderId="0" xfId="0" applyFont="1" applyFill="1" applyAlignment="1" applyProtection="1">
      <alignment horizontal="center" vertical="center"/>
    </xf>
    <xf numFmtId="0" fontId="67" fillId="0" borderId="0" xfId="0" applyFont="1" applyFill="1" applyAlignment="1" applyProtection="1">
      <alignment vertical="center"/>
    </xf>
    <xf numFmtId="0" fontId="67" fillId="6" borderId="0" xfId="0" applyFont="1" applyFill="1" applyAlignment="1" applyProtection="1">
      <alignment vertical="center"/>
    </xf>
    <xf numFmtId="0" fontId="67" fillId="0" borderId="0" xfId="0" applyFont="1" applyAlignment="1" applyProtection="1">
      <alignment vertical="center"/>
    </xf>
    <xf numFmtId="0" fontId="67" fillId="0" borderId="0" xfId="0" applyFont="1" applyBorder="1" applyProtection="1"/>
    <xf numFmtId="0" fontId="63" fillId="11" borderId="1" xfId="5" applyFont="1" applyFill="1" applyBorder="1" applyAlignment="1" applyProtection="1">
      <alignment horizontal="right" wrapText="1"/>
    </xf>
    <xf numFmtId="0" fontId="63" fillId="11" borderId="1" xfId="5" applyFont="1" applyFill="1" applyBorder="1" applyAlignment="1" applyProtection="1">
      <alignment horizontal="left" wrapText="1"/>
    </xf>
    <xf numFmtId="0" fontId="67" fillId="2" borderId="0" xfId="0" applyFont="1" applyFill="1" applyProtection="1"/>
    <xf numFmtId="0" fontId="67" fillId="0" borderId="0" xfId="0" applyFont="1" applyProtection="1">
      <protection locked="0"/>
    </xf>
    <xf numFmtId="0" fontId="67" fillId="0" borderId="0" xfId="0" applyFont="1" applyBorder="1" applyProtection="1">
      <protection locked="0"/>
    </xf>
    <xf numFmtId="0" fontId="67" fillId="3" borderId="0" xfId="0" applyFont="1" applyFill="1" applyProtection="1"/>
    <xf numFmtId="0" fontId="7" fillId="16" borderId="19" xfId="0" applyFont="1" applyFill="1" applyBorder="1" applyAlignment="1" applyProtection="1">
      <alignment horizontal="left" vertical="center" wrapText="1"/>
    </xf>
    <xf numFmtId="0" fontId="71" fillId="0" borderId="19"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xf>
    <xf numFmtId="0" fontId="56" fillId="6" borderId="0" xfId="0" applyFont="1" applyFill="1" applyAlignment="1" applyProtection="1">
      <alignment horizontal="center" vertical="center"/>
    </xf>
    <xf numFmtId="0" fontId="20" fillId="6" borderId="0" xfId="0" applyFont="1" applyFill="1" applyProtection="1"/>
    <xf numFmtId="0" fontId="6" fillId="0" borderId="0" xfId="0" applyFont="1" applyFill="1" applyAlignment="1" applyProtection="1">
      <alignment horizontal="right" vertical="top" wrapText="1"/>
    </xf>
    <xf numFmtId="0" fontId="67" fillId="14" borderId="0" xfId="0" applyFont="1" applyFill="1" applyProtection="1"/>
    <xf numFmtId="0" fontId="67" fillId="6" borderId="0" xfId="0" applyFont="1" applyFill="1" applyBorder="1" applyAlignment="1" applyProtection="1">
      <alignment horizontal="center"/>
    </xf>
    <xf numFmtId="0" fontId="5" fillId="0" borderId="0" xfId="3" applyFont="1" applyBorder="1" applyProtection="1"/>
    <xf numFmtId="0" fontId="67" fillId="0" borderId="0" xfId="0" applyFont="1" applyFill="1" applyBorder="1" applyProtection="1"/>
    <xf numFmtId="0" fontId="67" fillId="6" borderId="0" xfId="0" applyFont="1" applyFill="1" applyBorder="1" applyProtection="1"/>
    <xf numFmtId="0" fontId="8" fillId="0" borderId="0" xfId="0" applyFont="1" applyAlignment="1" applyProtection="1"/>
    <xf numFmtId="0" fontId="72" fillId="0" borderId="19" xfId="0" applyFont="1" applyFill="1" applyBorder="1" applyAlignment="1" applyProtection="1">
      <alignment horizontal="center" vertical="center"/>
      <protection locked="0"/>
    </xf>
    <xf numFmtId="0" fontId="73" fillId="0" borderId="19" xfId="0" applyFont="1" applyFill="1" applyBorder="1" applyAlignment="1" applyProtection="1">
      <alignment horizontal="left" vertical="center" wrapText="1"/>
      <protection locked="0"/>
    </xf>
    <xf numFmtId="0" fontId="74" fillId="0" borderId="0" xfId="0" applyFont="1" applyProtection="1"/>
    <xf numFmtId="0" fontId="72" fillId="0" borderId="0" xfId="0" applyFont="1" applyAlignment="1" applyProtection="1">
      <alignment horizontal="center" vertical="center"/>
    </xf>
    <xf numFmtId="0" fontId="73" fillId="0" borderId="0" xfId="0" applyFont="1" applyAlignment="1" applyProtection="1">
      <alignment horizontal="left" vertical="center" wrapText="1"/>
    </xf>
    <xf numFmtId="0" fontId="72" fillId="0" borderId="0" xfId="0" applyFont="1" applyAlignment="1" applyProtection="1">
      <alignment horizontal="center" vertical="center" wrapText="1"/>
    </xf>
    <xf numFmtId="0" fontId="73" fillId="0" borderId="21" xfId="0" applyFont="1" applyFill="1" applyBorder="1" applyAlignment="1" applyProtection="1">
      <alignment horizontal="left" vertical="center" wrapText="1"/>
      <protection locked="0"/>
    </xf>
    <xf numFmtId="0" fontId="72" fillId="0" borderId="2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0" fontId="3" fillId="0" borderId="2" xfId="0" applyFont="1" applyBorder="1" applyAlignment="1" applyProtection="1">
      <alignment wrapText="1"/>
      <protection locked="0"/>
    </xf>
    <xf numFmtId="0" fontId="16" fillId="0" borderId="2" xfId="0" applyFont="1" applyBorder="1" applyAlignment="1" applyProtection="1">
      <alignment horizontal="left" vertical="center"/>
      <protection locked="0"/>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horizontal="left" vertical="center" wrapText="1"/>
      <protection locked="0"/>
    </xf>
    <xf numFmtId="0" fontId="77" fillId="0" borderId="2" xfId="0" applyFont="1" applyBorder="1" applyAlignment="1" applyProtection="1">
      <alignment horizontal="left" vertical="center" wrapText="1"/>
      <protection locked="0"/>
    </xf>
    <xf numFmtId="10" fontId="7" fillId="0" borderId="21" xfId="0" applyNumberFormat="1" applyFont="1" applyFill="1" applyBorder="1" applyAlignment="1" applyProtection="1">
      <alignment horizontal="center" vertical="center" wrapText="1"/>
      <protection locked="0"/>
    </xf>
    <xf numFmtId="0" fontId="3" fillId="0" borderId="83" xfId="0" applyFont="1" applyBorder="1" applyAlignment="1" applyProtection="1">
      <alignment horizontal="left" wrapText="1"/>
      <protection locked="0"/>
    </xf>
    <xf numFmtId="0" fontId="32" fillId="0" borderId="21" xfId="0" applyNumberFormat="1" applyFont="1" applyFill="1" applyBorder="1" applyAlignment="1" applyProtection="1">
      <alignment horizontal="left" vertical="center" wrapText="1"/>
      <protection locked="0"/>
    </xf>
    <xf numFmtId="0" fontId="13" fillId="0" borderId="2" xfId="0" applyFont="1" applyBorder="1" applyProtection="1"/>
    <xf numFmtId="0" fontId="16" fillId="0" borderId="2" xfId="0" applyFont="1" applyBorder="1" applyAlignment="1" applyProtection="1">
      <alignment horizontal="left"/>
      <protection locked="0"/>
    </xf>
    <xf numFmtId="0" fontId="3" fillId="0" borderId="0" xfId="0" applyFont="1" applyFill="1" applyAlignment="1">
      <alignment vertical="top" wrapText="1"/>
    </xf>
    <xf numFmtId="0" fontId="21" fillId="0" borderId="0" xfId="0" applyFont="1" applyFill="1" applyAlignment="1">
      <alignment wrapText="1"/>
    </xf>
    <xf numFmtId="0" fontId="21" fillId="0" borderId="0" xfId="0" applyFont="1" applyFill="1" applyAlignment="1">
      <alignment vertical="top" wrapText="1"/>
    </xf>
    <xf numFmtId="0" fontId="3" fillId="0" borderId="0" xfId="0" applyFont="1" applyFill="1" applyBorder="1" applyAlignment="1">
      <alignment vertical="top" wrapText="1"/>
    </xf>
    <xf numFmtId="0" fontId="10" fillId="2" borderId="0" xfId="0" applyFont="1" applyFill="1" applyAlignment="1">
      <alignment horizontal="center" vertical="center"/>
    </xf>
    <xf numFmtId="0" fontId="5" fillId="3" borderId="0" xfId="0" applyFont="1" applyFill="1" applyAlignment="1">
      <alignment horizontal="center"/>
    </xf>
    <xf numFmtId="0" fontId="3" fillId="0" borderId="0" xfId="0" applyFont="1" applyFill="1" applyAlignment="1">
      <alignment horizontal="left" vertical="top" wrapText="1"/>
    </xf>
    <xf numFmtId="0" fontId="3" fillId="0" borderId="0" xfId="0" applyFont="1" applyFill="1" applyBorder="1" applyAlignment="1" applyProtection="1">
      <alignment horizontal="left" vertical="top" wrapText="1"/>
      <protection locked="0"/>
    </xf>
    <xf numFmtId="0" fontId="12" fillId="0" borderId="0" xfId="0" applyFont="1" applyFill="1" applyAlignment="1">
      <alignment vertical="top" wrapText="1"/>
    </xf>
    <xf numFmtId="0" fontId="3" fillId="0" borderId="51"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53" xfId="0" applyFont="1" applyFill="1" applyBorder="1" applyAlignment="1">
      <alignment horizontal="left" vertical="top" wrapText="1"/>
    </xf>
    <xf numFmtId="0" fontId="21" fillId="3" borderId="0" xfId="0" applyFont="1" applyFill="1" applyAlignment="1">
      <alignment horizontal="center"/>
    </xf>
    <xf numFmtId="0" fontId="3" fillId="0" borderId="0" xfId="0" applyFont="1" applyFill="1" applyAlignment="1">
      <alignment vertical="center" wrapText="1"/>
    </xf>
    <xf numFmtId="0" fontId="4" fillId="0" borderId="51" xfId="0" applyFont="1" applyFill="1" applyBorder="1" applyAlignment="1">
      <alignment horizontal="left" vertical="center" wrapText="1" indent="3"/>
    </xf>
    <xf numFmtId="0" fontId="4" fillId="0" borderId="52" xfId="0" applyFont="1" applyFill="1" applyBorder="1" applyAlignment="1">
      <alignment horizontal="left" vertical="center" wrapText="1" indent="3"/>
    </xf>
    <xf numFmtId="0" fontId="4" fillId="0" borderId="53" xfId="0" applyFont="1" applyFill="1" applyBorder="1" applyAlignment="1">
      <alignment horizontal="left" vertical="center" wrapText="1" indent="3"/>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4" fillId="0" borderId="0" xfId="0" applyFont="1" applyFill="1" applyAlignment="1">
      <alignment vertical="top" wrapText="1"/>
    </xf>
    <xf numFmtId="0" fontId="5" fillId="3" borderId="0" xfId="0" applyNumberFormat="1" applyFont="1" applyFill="1" applyBorder="1" applyAlignment="1">
      <alignment horizontal="center" vertical="top" wrapText="1"/>
    </xf>
    <xf numFmtId="0" fontId="21" fillId="3" borderId="0" xfId="0" applyFont="1" applyFill="1" applyAlignment="1">
      <alignment horizontal="center" vertical="top" wrapText="1"/>
    </xf>
    <xf numFmtId="0" fontId="5" fillId="3"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10" fillId="2" borderId="0" xfId="0" applyFont="1" applyFill="1" applyAlignment="1">
      <alignment horizontal="center"/>
    </xf>
    <xf numFmtId="0" fontId="5" fillId="3" borderId="0" xfId="0" applyFont="1" applyFill="1" applyAlignment="1">
      <alignment horizontal="center" vertical="center"/>
    </xf>
    <xf numFmtId="0" fontId="5" fillId="0" borderId="0" xfId="0" applyFont="1" applyFill="1" applyAlignment="1">
      <alignment vertical="center"/>
    </xf>
    <xf numFmtId="0" fontId="3" fillId="0" borderId="9" xfId="0" applyFont="1" applyFill="1" applyBorder="1" applyAlignment="1">
      <alignment horizontal="left" vertical="top" wrapText="1"/>
    </xf>
    <xf numFmtId="0" fontId="21" fillId="0" borderId="9" xfId="0" applyFont="1" applyFill="1" applyBorder="1" applyAlignment="1">
      <alignment vertical="top" wrapText="1"/>
    </xf>
    <xf numFmtId="0" fontId="16" fillId="0" borderId="58" xfId="0" applyFont="1" applyFill="1" applyBorder="1" applyAlignment="1" applyProtection="1">
      <alignment horizontal="left" wrapText="1"/>
      <protection locked="0"/>
    </xf>
    <xf numFmtId="0" fontId="5" fillId="0" borderId="0" xfId="0" applyFont="1" applyFill="1" applyAlignment="1">
      <alignment horizontal="left"/>
    </xf>
    <xf numFmtId="0" fontId="3" fillId="7" borderId="51" xfId="0" applyFont="1" applyFill="1" applyBorder="1" applyAlignment="1">
      <alignment horizontal="center" vertical="center" wrapText="1"/>
    </xf>
    <xf numFmtId="0" fontId="3" fillId="7" borderId="53"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75" xfId="0" applyFont="1" applyFill="1" applyBorder="1" applyAlignment="1">
      <alignment horizontal="center" vertical="center" wrapText="1"/>
    </xf>
    <xf numFmtId="0" fontId="36" fillId="0" borderId="68" xfId="0" applyFont="1" applyFill="1" applyBorder="1" applyAlignment="1">
      <alignment horizontal="center" vertical="top" wrapText="1"/>
    </xf>
    <xf numFmtId="0" fontId="36" fillId="0" borderId="0" xfId="0" applyFont="1" applyFill="1" applyBorder="1" applyAlignment="1">
      <alignment horizontal="center" vertical="top" wrapText="1"/>
    </xf>
    <xf numFmtId="0" fontId="3" fillId="8" borderId="38"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4" fillId="8" borderId="76" xfId="0" applyFont="1" applyFill="1" applyBorder="1" applyAlignment="1">
      <alignment horizontal="center" vertical="center"/>
    </xf>
    <xf numFmtId="0" fontId="4" fillId="8" borderId="77" xfId="0" applyFont="1" applyFill="1" applyBorder="1" applyAlignment="1">
      <alignment horizontal="center" vertical="center"/>
    </xf>
    <xf numFmtId="0" fontId="4" fillId="8" borderId="69" xfId="0" applyFont="1" applyFill="1" applyBorder="1" applyAlignment="1">
      <alignment horizontal="center" vertical="center"/>
    </xf>
    <xf numFmtId="0" fontId="4" fillId="8" borderId="78" xfId="0" applyFont="1" applyFill="1" applyBorder="1" applyAlignment="1">
      <alignment horizontal="center" vertical="center"/>
    </xf>
    <xf numFmtId="0" fontId="4" fillId="7" borderId="38"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7" fillId="8" borderId="51"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51" xfId="0" applyFont="1" applyFill="1" applyBorder="1" applyAlignment="1">
      <alignment horizontal="center"/>
    </xf>
    <xf numFmtId="0" fontId="7" fillId="8" borderId="52" xfId="0" applyFont="1" applyFill="1" applyBorder="1" applyAlignment="1">
      <alignment horizontal="center"/>
    </xf>
    <xf numFmtId="0" fontId="7" fillId="8" borderId="53" xfId="0" applyFont="1" applyFill="1" applyBorder="1" applyAlignment="1">
      <alignment horizontal="center"/>
    </xf>
    <xf numFmtId="0" fontId="3" fillId="8" borderId="51"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7" fillId="0" borderId="0" xfId="0" applyFont="1" applyFill="1" applyAlignment="1" applyProtection="1">
      <alignment horizontal="left" vertical="top" wrapText="1"/>
    </xf>
    <xf numFmtId="0" fontId="4" fillId="0" borderId="0" xfId="0" applyFont="1" applyFill="1" applyBorder="1" applyAlignment="1" applyProtection="1">
      <alignment horizontal="left" wrapText="1"/>
    </xf>
    <xf numFmtId="0" fontId="5" fillId="3" borderId="0" xfId="0" applyFont="1" applyFill="1" applyBorder="1" applyAlignment="1" applyProtection="1"/>
    <xf numFmtId="0" fontId="67" fillId="3" borderId="0" xfId="0" applyFont="1" applyFill="1" applyBorder="1" applyAlignment="1" applyProtection="1"/>
    <xf numFmtId="0" fontId="19" fillId="3" borderId="0" xfId="0" applyFont="1" applyFill="1" applyBorder="1" applyAlignment="1" applyProtection="1">
      <alignment wrapText="1"/>
    </xf>
    <xf numFmtId="0" fontId="56" fillId="6" borderId="84" xfId="0" applyFont="1" applyFill="1" applyBorder="1" applyAlignment="1" applyProtection="1">
      <alignment horizontal="center"/>
    </xf>
    <xf numFmtId="0" fontId="12" fillId="0" borderId="2" xfId="0" applyFont="1" applyBorder="1" applyAlignment="1" applyProtection="1">
      <alignment horizontal="left"/>
    </xf>
    <xf numFmtId="0" fontId="14" fillId="0" borderId="2" xfId="0" applyFont="1" applyBorder="1" applyAlignment="1">
      <alignment horizontal="left"/>
    </xf>
    <xf numFmtId="0" fontId="39" fillId="0" borderId="2" xfId="0" applyFont="1" applyBorder="1" applyAlignment="1" applyProtection="1">
      <alignment horizontal="center"/>
    </xf>
    <xf numFmtId="0" fontId="6" fillId="0" borderId="0" xfId="0" applyFont="1" applyFill="1" applyAlignment="1" applyProtection="1">
      <alignment horizontal="left" vertical="top" wrapText="1"/>
    </xf>
    <xf numFmtId="0" fontId="59" fillId="7" borderId="51" xfId="0" applyFont="1" applyFill="1" applyBorder="1" applyAlignment="1" applyProtection="1">
      <alignment horizontal="center" vertical="center" wrapText="1"/>
    </xf>
    <xf numFmtId="0" fontId="59" fillId="7" borderId="52" xfId="0" applyFont="1" applyFill="1" applyBorder="1" applyAlignment="1" applyProtection="1">
      <alignment horizontal="center" vertical="center" wrapText="1"/>
    </xf>
    <xf numFmtId="0" fontId="59" fillId="7" borderId="53" xfId="0" applyFont="1" applyFill="1" applyBorder="1" applyAlignment="1" applyProtection="1">
      <alignment horizontal="center" vertical="center" wrapText="1"/>
    </xf>
    <xf numFmtId="0" fontId="60" fillId="7" borderId="52" xfId="0" applyFont="1" applyFill="1" applyBorder="1" applyAlignment="1" applyProtection="1">
      <alignment horizontal="center" vertical="center" wrapText="1"/>
    </xf>
    <xf numFmtId="0" fontId="60" fillId="7" borderId="53" xfId="0" applyFont="1" applyFill="1" applyBorder="1" applyAlignment="1" applyProtection="1">
      <alignment horizontal="center" vertical="center" wrapText="1"/>
    </xf>
    <xf numFmtId="0" fontId="3" fillId="0" borderId="28"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79" xfId="0" applyFont="1" applyBorder="1" applyAlignment="1" applyProtection="1">
      <alignment horizontal="left" wrapText="1"/>
      <protection locked="0"/>
    </xf>
    <xf numFmtId="0" fontId="60" fillId="0" borderId="53" xfId="0" applyFont="1" applyBorder="1" applyAlignment="1" applyProtection="1">
      <alignment wrapText="1"/>
    </xf>
    <xf numFmtId="0" fontId="60" fillId="7" borderId="52" xfId="0" applyFont="1" applyFill="1" applyBorder="1" applyAlignment="1" applyProtection="1">
      <alignment horizontal="center" vertical="center"/>
    </xf>
    <xf numFmtId="0" fontId="60" fillId="7" borderId="53" xfId="0" applyFont="1" applyFill="1" applyBorder="1" applyAlignment="1" applyProtection="1">
      <alignment horizontal="center" vertical="center"/>
    </xf>
    <xf numFmtId="0" fontId="60" fillId="7" borderId="52" xfId="0" applyFont="1" applyFill="1" applyBorder="1" applyAlignment="1" applyProtection="1">
      <alignment wrapText="1"/>
    </xf>
    <xf numFmtId="0" fontId="60" fillId="7" borderId="53" xfId="0" applyFont="1" applyFill="1" applyBorder="1" applyAlignment="1" applyProtection="1">
      <alignment wrapText="1"/>
    </xf>
    <xf numFmtId="0" fontId="7" fillId="0" borderId="58" xfId="0" applyFont="1" applyFill="1" applyBorder="1" applyAlignment="1" applyProtection="1">
      <alignment horizontal="center" vertical="center" wrapText="1"/>
    </xf>
    <xf numFmtId="0" fontId="0" fillId="0" borderId="58" xfId="0" applyFill="1" applyBorder="1" applyAlignment="1" applyProtection="1">
      <alignment horizontal="center" vertical="center"/>
    </xf>
    <xf numFmtId="0" fontId="0" fillId="0" borderId="58" xfId="0" applyFill="1" applyBorder="1" applyAlignment="1" applyProtection="1">
      <alignment wrapText="1"/>
    </xf>
    <xf numFmtId="0" fontId="0" fillId="3" borderId="0" xfId="0" applyFill="1" applyAlignment="1" applyProtection="1"/>
    <xf numFmtId="0" fontId="4" fillId="6" borderId="51" xfId="0" applyFont="1" applyFill="1" applyBorder="1" applyAlignment="1" applyProtection="1">
      <alignment horizontal="center"/>
    </xf>
    <xf numFmtId="0" fontId="4" fillId="6" borderId="52" xfId="0" applyFont="1" applyFill="1" applyBorder="1" applyAlignment="1" applyProtection="1">
      <alignment horizontal="center"/>
    </xf>
    <xf numFmtId="0" fontId="4" fillId="6" borderId="53" xfId="0" applyFont="1" applyFill="1" applyBorder="1" applyAlignment="1" applyProtection="1">
      <alignment horizontal="center"/>
    </xf>
    <xf numFmtId="0" fontId="3" fillId="0" borderId="81"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67" fillId="0" borderId="0" xfId="0" applyFont="1" applyBorder="1" applyAlignment="1" applyProtection="1"/>
    <xf numFmtId="0" fontId="0" fillId="0" borderId="0" xfId="0" applyAlignment="1" applyProtection="1"/>
    <xf numFmtId="0" fontId="3" fillId="0" borderId="71" xfId="0" applyFont="1" applyBorder="1" applyAlignment="1" applyProtection="1">
      <alignment horizontal="left" wrapText="1"/>
      <protection locked="0"/>
    </xf>
    <xf numFmtId="0" fontId="3" fillId="0" borderId="57"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75" fillId="0" borderId="0" xfId="0" applyFont="1" applyFill="1" applyAlignment="1" applyProtection="1">
      <alignment horizontal="left" vertical="top" wrapText="1"/>
    </xf>
    <xf numFmtId="0" fontId="5" fillId="3" borderId="0" xfId="0" applyFont="1" applyFill="1" applyAlignment="1" applyProtection="1"/>
    <xf numFmtId="0" fontId="67" fillId="3" borderId="0" xfId="0" applyFont="1" applyFill="1" applyAlignment="1" applyProtection="1"/>
    <xf numFmtId="0" fontId="19" fillId="3" borderId="0" xfId="0" applyFont="1" applyFill="1" applyAlignment="1" applyProtection="1">
      <alignment wrapText="1"/>
    </xf>
    <xf numFmtId="0" fontId="7" fillId="8" borderId="51" xfId="0" applyFont="1" applyFill="1" applyBorder="1" applyAlignment="1" applyProtection="1">
      <alignment horizontal="center" vertical="center" wrapText="1"/>
    </xf>
    <xf numFmtId="0" fontId="7" fillId="8" borderId="5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8" fillId="0" borderId="52" xfId="0" applyFont="1" applyBorder="1" applyAlignment="1">
      <alignment wrapText="1"/>
    </xf>
    <xf numFmtId="0" fontId="0" fillId="0" borderId="53" xfId="0" applyBorder="1" applyAlignment="1"/>
    <xf numFmtId="0" fontId="7" fillId="8" borderId="76" xfId="0" applyFont="1" applyFill="1" applyBorder="1" applyAlignment="1" applyProtection="1">
      <alignment horizontal="center" vertical="center" wrapText="1"/>
    </xf>
    <xf numFmtId="0" fontId="8" fillId="0" borderId="58" xfId="0" applyFont="1" applyBorder="1" applyAlignment="1">
      <alignment wrapText="1"/>
    </xf>
    <xf numFmtId="0" fontId="8" fillId="0" borderId="77" xfId="0" applyFont="1" applyBorder="1" applyAlignment="1">
      <alignment wrapText="1"/>
    </xf>
    <xf numFmtId="0" fontId="8" fillId="0" borderId="68" xfId="0" applyFont="1" applyBorder="1" applyAlignment="1">
      <alignment wrapText="1"/>
    </xf>
    <xf numFmtId="0" fontId="8" fillId="0" borderId="0" xfId="0" applyFont="1" applyBorder="1" applyAlignment="1">
      <alignment wrapText="1"/>
    </xf>
    <xf numFmtId="0" fontId="8" fillId="0" borderId="24" xfId="0" applyFont="1" applyBorder="1" applyAlignment="1">
      <alignment wrapText="1"/>
    </xf>
    <xf numFmtId="0" fontId="8" fillId="0" borderId="69" xfId="0" applyFont="1" applyBorder="1" applyAlignment="1">
      <alignment wrapText="1"/>
    </xf>
    <xf numFmtId="0" fontId="8" fillId="0" borderId="2" xfId="0" applyFont="1" applyBorder="1" applyAlignment="1">
      <alignment wrapText="1"/>
    </xf>
    <xf numFmtId="0" fontId="8" fillId="0" borderId="78" xfId="0" applyFont="1" applyBorder="1" applyAlignment="1">
      <alignment wrapText="1"/>
    </xf>
    <xf numFmtId="0" fontId="0" fillId="0" borderId="77" xfId="0" applyBorder="1" applyAlignment="1"/>
    <xf numFmtId="0" fontId="0" fillId="0" borderId="78" xfId="0" applyBorder="1" applyAlignment="1"/>
    <xf numFmtId="0" fontId="39" fillId="0" borderId="68" xfId="0" applyFont="1" applyBorder="1" applyAlignment="1" applyProtection="1">
      <alignment horizontal="center" vertical="center" wrapText="1"/>
    </xf>
    <xf numFmtId="0" fontId="8" fillId="0" borderId="0" xfId="0" applyFont="1" applyAlignment="1">
      <alignment wrapText="1"/>
    </xf>
    <xf numFmtId="0" fontId="7" fillId="8" borderId="53" xfId="0" applyFont="1" applyFill="1" applyBorder="1" applyAlignment="1" applyProtection="1">
      <alignment horizontal="center" vertical="center" wrapText="1"/>
    </xf>
    <xf numFmtId="0" fontId="0" fillId="0" borderId="58" xfId="0" applyBorder="1" applyAlignment="1">
      <alignment wrapText="1"/>
    </xf>
    <xf numFmtId="0" fontId="0" fillId="0" borderId="77" xfId="0" applyBorder="1" applyAlignment="1">
      <alignment wrapText="1"/>
    </xf>
    <xf numFmtId="0" fontId="0" fillId="0" borderId="68"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69" xfId="0" applyBorder="1" applyAlignment="1">
      <alignment wrapText="1"/>
    </xf>
    <xf numFmtId="0" fontId="0" fillId="0" borderId="2" xfId="0" applyBorder="1" applyAlignment="1">
      <alignment wrapText="1"/>
    </xf>
    <xf numFmtId="0" fontId="0" fillId="0" borderId="78" xfId="0" applyBorder="1" applyAlignment="1">
      <alignment wrapText="1"/>
    </xf>
    <xf numFmtId="0" fontId="7" fillId="8" borderId="58" xfId="0" applyFont="1" applyFill="1" applyBorder="1" applyAlignment="1" applyProtection="1">
      <alignment horizontal="center" vertical="center" wrapText="1"/>
    </xf>
    <xf numFmtId="0" fontId="7" fillId="8" borderId="77" xfId="0" applyFont="1" applyFill="1" applyBorder="1" applyAlignment="1" applyProtection="1">
      <alignment horizontal="center" vertical="center" wrapText="1"/>
    </xf>
    <xf numFmtId="0" fontId="7" fillId="8" borderId="69"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7" fillId="8" borderId="78" xfId="0" applyFont="1" applyFill="1" applyBorder="1" applyAlignment="1" applyProtection="1">
      <alignment horizontal="center" vertical="center" wrapText="1"/>
    </xf>
    <xf numFmtId="0" fontId="3" fillId="0" borderId="27" xfId="0" applyFont="1" applyBorder="1" applyAlignment="1">
      <alignment horizontal="left" wrapText="1"/>
    </xf>
    <xf numFmtId="0" fontId="3" fillId="0" borderId="79" xfId="0" applyFont="1" applyBorder="1" applyAlignment="1">
      <alignment horizontal="left" wrapText="1"/>
    </xf>
    <xf numFmtId="0" fontId="0" fillId="0" borderId="27" xfId="0" applyBorder="1" applyAlignment="1">
      <alignment horizontal="left" wrapText="1"/>
    </xf>
    <xf numFmtId="0" fontId="0" fillId="0" borderId="79" xfId="0" applyBorder="1" applyAlignment="1">
      <alignment horizontal="left" wrapText="1"/>
    </xf>
    <xf numFmtId="0" fontId="3" fillId="0" borderId="57" xfId="0" applyFont="1" applyBorder="1" applyAlignment="1">
      <alignment horizontal="left" wrapText="1"/>
    </xf>
    <xf numFmtId="0" fontId="3" fillId="0" borderId="80" xfId="0" applyFont="1" applyBorder="1" applyAlignment="1">
      <alignment horizontal="left" wrapText="1"/>
    </xf>
    <xf numFmtId="0" fontId="13" fillId="6" borderId="0" xfId="0" applyFont="1" applyFill="1" applyBorder="1" applyAlignment="1" applyProtection="1">
      <alignment horizontal="left"/>
    </xf>
    <xf numFmtId="0" fontId="39" fillId="0" borderId="0" xfId="0" applyFont="1" applyFill="1" applyAlignment="1" applyProtection="1">
      <alignment horizontal="center" wrapText="1"/>
    </xf>
    <xf numFmtId="0" fontId="7" fillId="12" borderId="51" xfId="0" applyFont="1" applyFill="1" applyBorder="1" applyAlignment="1" applyProtection="1">
      <alignment horizontal="center" vertical="center" wrapText="1"/>
    </xf>
    <xf numFmtId="0" fontId="0" fillId="0" borderId="52" xfId="0" applyBorder="1" applyAlignment="1">
      <alignment horizontal="center" wrapText="1"/>
    </xf>
    <xf numFmtId="0" fontId="0" fillId="0" borderId="53" xfId="0" applyBorder="1" applyAlignment="1">
      <alignment horizontal="center" wrapText="1"/>
    </xf>
    <xf numFmtId="0" fontId="21" fillId="3" borderId="0" xfId="0" applyFont="1" applyFill="1" applyAlignment="1" applyProtection="1"/>
    <xf numFmtId="0" fontId="39" fillId="0" borderId="2" xfId="0" applyFont="1" applyBorder="1" applyAlignment="1" applyProtection="1">
      <alignment horizontal="right"/>
    </xf>
    <xf numFmtId="0" fontId="0" fillId="0" borderId="2" xfId="0" applyBorder="1" applyAlignment="1" applyProtection="1"/>
    <xf numFmtId="0" fontId="12" fillId="0" borderId="2" xfId="0" applyFont="1" applyBorder="1" applyAlignment="1" applyProtection="1">
      <alignment horizontal="right"/>
    </xf>
    <xf numFmtId="0" fontId="14" fillId="0" borderId="2" xfId="0" applyFont="1" applyBorder="1" applyAlignment="1" applyProtection="1">
      <alignment horizontal="right"/>
    </xf>
    <xf numFmtId="0" fontId="59" fillId="12" borderId="76" xfId="0" applyFont="1" applyFill="1" applyBorder="1" applyAlignment="1" applyProtection="1">
      <alignment horizontal="center" vertical="center" wrapText="1"/>
    </xf>
    <xf numFmtId="0" fontId="60" fillId="12" borderId="58" xfId="0" applyFont="1" applyFill="1" applyBorder="1" applyAlignment="1" applyProtection="1">
      <alignment horizontal="center" vertical="center"/>
    </xf>
    <xf numFmtId="0" fontId="60" fillId="12" borderId="77" xfId="0" applyFont="1" applyFill="1" applyBorder="1" applyAlignment="1" applyProtection="1">
      <alignment horizontal="center" vertical="center"/>
    </xf>
    <xf numFmtId="0" fontId="60" fillId="12" borderId="68" xfId="0" applyFont="1" applyFill="1" applyBorder="1" applyAlignment="1" applyProtection="1">
      <alignment horizontal="center" vertical="center"/>
    </xf>
    <xf numFmtId="0" fontId="60" fillId="12" borderId="0" xfId="0" applyFont="1" applyFill="1" applyBorder="1" applyAlignment="1" applyProtection="1">
      <alignment horizontal="center" vertical="center"/>
    </xf>
    <xf numFmtId="0" fontId="60" fillId="12" borderId="24" xfId="0" applyFont="1" applyFill="1" applyBorder="1" applyAlignment="1" applyProtection="1">
      <alignment horizontal="center" vertical="center"/>
    </xf>
    <xf numFmtId="0" fontId="60" fillId="12" borderId="69" xfId="0" applyFont="1" applyFill="1" applyBorder="1" applyAlignment="1" applyProtection="1">
      <alignment horizontal="center" vertical="center"/>
    </xf>
    <xf numFmtId="0" fontId="60" fillId="12" borderId="2" xfId="0" applyFont="1" applyFill="1" applyBorder="1" applyAlignment="1" applyProtection="1">
      <alignment horizontal="center" vertical="center"/>
    </xf>
    <xf numFmtId="0" fontId="60" fillId="12" borderId="78" xfId="0" applyFont="1" applyFill="1" applyBorder="1" applyAlignment="1" applyProtection="1">
      <alignment horizontal="center" vertical="center"/>
    </xf>
    <xf numFmtId="0" fontId="7" fillId="12" borderId="76" xfId="0" applyFont="1" applyFill="1" applyBorder="1" applyAlignment="1" applyProtection="1">
      <alignment horizontal="center" vertical="center" wrapText="1"/>
    </xf>
    <xf numFmtId="0" fontId="0" fillId="12" borderId="58" xfId="0" applyFill="1" applyBorder="1" applyAlignment="1" applyProtection="1">
      <alignment vertical="center" wrapText="1"/>
    </xf>
    <xf numFmtId="0" fontId="0" fillId="12" borderId="77" xfId="0" applyFill="1" applyBorder="1" applyAlignment="1" applyProtection="1">
      <alignment vertical="center" wrapText="1"/>
    </xf>
    <xf numFmtId="0" fontId="0" fillId="12" borderId="68" xfId="0" applyFill="1" applyBorder="1" applyAlignment="1" applyProtection="1">
      <alignment vertical="center" wrapText="1"/>
    </xf>
    <xf numFmtId="0" fontId="0" fillId="12" borderId="0" xfId="0" applyFill="1" applyBorder="1" applyAlignment="1" applyProtection="1">
      <alignment vertical="center" wrapText="1"/>
    </xf>
    <xf numFmtId="0" fontId="0" fillId="12" borderId="24" xfId="0" applyFill="1" applyBorder="1" applyAlignment="1" applyProtection="1">
      <alignment vertical="center" wrapText="1"/>
    </xf>
    <xf numFmtId="0" fontId="0" fillId="12" borderId="69" xfId="0" applyFill="1" applyBorder="1" applyAlignment="1" applyProtection="1">
      <alignment vertical="center" wrapText="1"/>
    </xf>
    <xf numFmtId="0" fontId="0" fillId="12" borderId="2" xfId="0" applyFill="1" applyBorder="1" applyAlignment="1" applyProtection="1">
      <alignment vertical="center" wrapText="1"/>
    </xf>
    <xf numFmtId="0" fontId="0" fillId="12" borderId="78" xfId="0" applyFill="1" applyBorder="1" applyAlignment="1" applyProtection="1">
      <alignment vertical="center" wrapText="1"/>
    </xf>
    <xf numFmtId="0" fontId="7" fillId="15" borderId="0" xfId="0" applyFont="1" applyFill="1" applyAlignment="1" applyProtection="1">
      <alignment horizontal="center" vertical="top" wrapText="1"/>
    </xf>
    <xf numFmtId="0" fontId="61" fillId="0" borderId="2" xfId="0" applyFont="1" applyBorder="1" applyAlignment="1" applyProtection="1">
      <alignment horizontal="right"/>
    </xf>
    <xf numFmtId="0" fontId="6" fillId="2" borderId="76" xfId="0" applyFont="1" applyFill="1" applyBorder="1" applyAlignment="1" applyProtection="1">
      <alignment horizontal="center" vertical="center" wrapText="1"/>
    </xf>
    <xf numFmtId="0" fontId="76" fillId="0" borderId="0" xfId="0" applyFont="1" applyFill="1" applyAlignment="1" applyProtection="1">
      <alignment horizontal="left" vertical="top" wrapText="1"/>
    </xf>
    <xf numFmtId="0" fontId="7" fillId="2" borderId="51" xfId="0" applyFont="1" applyFill="1" applyBorder="1" applyAlignment="1" applyProtection="1">
      <alignment horizontal="center" vertical="center" wrapText="1"/>
    </xf>
    <xf numFmtId="0" fontId="7" fillId="2" borderId="52"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14" fillId="0" borderId="2" xfId="0" applyFont="1" applyBorder="1" applyAlignment="1" applyProtection="1"/>
    <xf numFmtId="0" fontId="7" fillId="0" borderId="28" xfId="0" applyFont="1" applyBorder="1" applyAlignment="1" applyProtection="1">
      <alignment wrapText="1"/>
      <protection locked="0"/>
    </xf>
    <xf numFmtId="0" fontId="7" fillId="0" borderId="27" xfId="0" applyFont="1" applyBorder="1" applyAlignment="1" applyProtection="1">
      <alignment wrapText="1"/>
      <protection locked="0"/>
    </xf>
    <xf numFmtId="0" fontId="7" fillId="0" borderId="79" xfId="0" applyFont="1" applyBorder="1" applyAlignment="1" applyProtection="1">
      <alignment wrapText="1"/>
      <protection locked="0"/>
    </xf>
    <xf numFmtId="0" fontId="21" fillId="0" borderId="27" xfId="0" applyFont="1" applyBorder="1" applyAlignment="1" applyProtection="1">
      <alignment wrapText="1"/>
      <protection locked="0"/>
    </xf>
    <xf numFmtId="0" fontId="21" fillId="0" borderId="79" xfId="0" applyFont="1" applyBorder="1" applyAlignment="1" applyProtection="1">
      <alignment wrapText="1"/>
      <protection locked="0"/>
    </xf>
    <xf numFmtId="0" fontId="5" fillId="3" borderId="0" xfId="0" applyFont="1" applyFill="1" applyAlignment="1"/>
    <xf numFmtId="0" fontId="21" fillId="3" borderId="0" xfId="0" applyFont="1" applyFill="1" applyAlignment="1"/>
    <xf numFmtId="0" fontId="4" fillId="6" borderId="51" xfId="0" applyFont="1" applyFill="1" applyBorder="1" applyAlignment="1">
      <alignment horizontal="left" wrapText="1"/>
    </xf>
    <xf numFmtId="0" fontId="4" fillId="6" borderId="52" xfId="0" applyFont="1" applyFill="1" applyBorder="1" applyAlignment="1">
      <alignment horizontal="left" wrapText="1"/>
    </xf>
    <xf numFmtId="0" fontId="4" fillId="6" borderId="53" xfId="0" applyFont="1" applyFill="1" applyBorder="1" applyAlignment="1">
      <alignment horizontal="left" wrapText="1"/>
    </xf>
    <xf numFmtId="0" fontId="4" fillId="6" borderId="51" xfId="0" applyFont="1" applyFill="1" applyBorder="1" applyAlignment="1" applyProtection="1">
      <alignment horizontal="left" wrapText="1"/>
      <protection locked="0"/>
    </xf>
    <xf numFmtId="0" fontId="4" fillId="6" borderId="52" xfId="0" applyFont="1" applyFill="1" applyBorder="1" applyAlignment="1" applyProtection="1">
      <alignment horizontal="left" wrapText="1"/>
      <protection locked="0"/>
    </xf>
    <xf numFmtId="0" fontId="4" fillId="6" borderId="53" xfId="0" applyFont="1" applyFill="1" applyBorder="1" applyAlignment="1" applyProtection="1">
      <alignment horizontal="left" wrapText="1"/>
      <protection locked="0"/>
    </xf>
    <xf numFmtId="0" fontId="7" fillId="0" borderId="51" xfId="0" applyFont="1" applyBorder="1" applyAlignment="1">
      <alignment horizontal="left" wrapText="1"/>
    </xf>
    <xf numFmtId="0" fontId="7" fillId="0" borderId="52" xfId="0" applyFont="1" applyBorder="1" applyAlignment="1">
      <alignment horizontal="left" wrapText="1"/>
    </xf>
    <xf numFmtId="0" fontId="7" fillId="0" borderId="53" xfId="0" applyFont="1" applyBorder="1" applyAlignment="1">
      <alignment horizontal="left" wrapText="1"/>
    </xf>
    <xf numFmtId="0" fontId="0" fillId="0" borderId="27" xfId="0" applyBorder="1" applyAlignment="1" applyProtection="1">
      <alignment wrapText="1"/>
      <protection locked="0"/>
    </xf>
    <xf numFmtId="0" fontId="0" fillId="0" borderId="79" xfId="0" applyBorder="1" applyAlignment="1" applyProtection="1">
      <alignment wrapText="1"/>
      <protection locked="0"/>
    </xf>
    <xf numFmtId="0" fontId="7" fillId="0" borderId="71" xfId="0" applyFont="1" applyBorder="1" applyAlignment="1" applyProtection="1">
      <alignment wrapText="1"/>
      <protection locked="0"/>
    </xf>
    <xf numFmtId="0" fontId="0" fillId="0" borderId="57" xfId="0" applyBorder="1" applyAlignment="1" applyProtection="1">
      <alignment wrapText="1"/>
      <protection locked="0"/>
    </xf>
    <xf numFmtId="0" fontId="0" fillId="0" borderId="80" xfId="0" applyBorder="1" applyAlignment="1" applyProtection="1">
      <alignment wrapText="1"/>
      <protection locked="0"/>
    </xf>
    <xf numFmtId="0" fontId="78" fillId="0" borderId="0" xfId="0" applyFont="1" applyFill="1" applyAlignment="1">
      <alignment vertical="top"/>
    </xf>
    <xf numFmtId="0" fontId="79" fillId="0" borderId="0" xfId="0" applyFont="1"/>
    <xf numFmtId="0" fontId="80" fillId="17" borderId="0" xfId="0" applyFont="1" applyFill="1" applyAlignment="1">
      <alignment horizontal="center"/>
    </xf>
    <xf numFmtId="0" fontId="79" fillId="0" borderId="0" xfId="0" applyFont="1" applyFill="1"/>
    <xf numFmtId="0" fontId="81" fillId="2" borderId="0" xfId="0" applyFont="1" applyFill="1" applyAlignment="1">
      <alignment horizontal="center"/>
    </xf>
    <xf numFmtId="0" fontId="10" fillId="0" borderId="0" xfId="0" applyFont="1" applyFill="1"/>
    <xf numFmtId="0" fontId="82" fillId="0" borderId="0" xfId="0" applyFont="1" applyFill="1"/>
    <xf numFmtId="0" fontId="82" fillId="0" borderId="0" xfId="0" applyFont="1"/>
    <xf numFmtId="0" fontId="83" fillId="0" borderId="0" xfId="0" applyFont="1"/>
    <xf numFmtId="0" fontId="5" fillId="0" borderId="0" xfId="0" applyFont="1" applyBorder="1" applyAlignment="1">
      <alignment horizontal="center" vertical="center"/>
    </xf>
    <xf numFmtId="0" fontId="10" fillId="3" borderId="0" xfId="0" applyFont="1" applyFill="1" applyAlignment="1">
      <alignment horizontal="center" vertical="center"/>
    </xf>
    <xf numFmtId="0" fontId="10" fillId="3" borderId="0" xfId="0" applyFont="1" applyFill="1" applyAlignment="1"/>
    <xf numFmtId="0" fontId="5" fillId="0" borderId="0" xfId="0" applyFont="1" applyFill="1" applyBorder="1"/>
    <xf numFmtId="0" fontId="5" fillId="0" borderId="0" xfId="0" applyFont="1" applyFill="1" applyBorder="1" applyAlignment="1">
      <alignment wrapText="1"/>
    </xf>
    <xf numFmtId="0" fontId="12" fillId="0" borderId="58" xfId="0" applyFont="1" applyFill="1" applyBorder="1"/>
    <xf numFmtId="0" fontId="13" fillId="0" borderId="58" xfId="0" applyFont="1" applyFill="1" applyBorder="1" applyAlignment="1">
      <alignment vertical="top" wrapText="1"/>
    </xf>
    <xf numFmtId="0" fontId="0" fillId="0" borderId="58" xfId="0" applyFill="1" applyBorder="1" applyAlignment="1">
      <alignment vertical="top" wrapText="1"/>
    </xf>
    <xf numFmtId="0" fontId="0" fillId="0" borderId="58" xfId="0" applyFill="1" applyBorder="1" applyAlignment="1"/>
    <xf numFmtId="0" fontId="12" fillId="0" borderId="0" xfId="0" applyFont="1" applyFill="1" applyBorder="1"/>
    <xf numFmtId="0" fontId="13"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xf numFmtId="0" fontId="21" fillId="0" borderId="0" xfId="0" applyFont="1" applyFill="1"/>
    <xf numFmtId="0" fontId="12" fillId="0" borderId="0" xfId="0" applyFont="1" applyBorder="1"/>
    <xf numFmtId="0" fontId="13" fillId="0" borderId="0" xfId="0" applyFont="1" applyFill="1" applyBorder="1" applyAlignment="1">
      <alignment horizontal="left" vertical="top" wrapText="1"/>
    </xf>
    <xf numFmtId="0" fontId="13" fillId="0" borderId="0" xfId="0" applyFont="1" applyBorder="1" applyAlignment="1">
      <alignment horizontal="left" vertical="top"/>
    </xf>
    <xf numFmtId="0" fontId="13" fillId="0" borderId="0" xfId="0" applyFont="1" applyBorder="1" applyAlignment="1">
      <alignment vertical="top"/>
    </xf>
    <xf numFmtId="0" fontId="12" fillId="0" borderId="2" xfId="0" applyFont="1" applyBorder="1"/>
    <xf numFmtId="0" fontId="13" fillId="0" borderId="2" xfId="0" applyFont="1" applyBorder="1" applyAlignment="1">
      <alignment horizontal="left" vertical="top"/>
    </xf>
    <xf numFmtId="0" fontId="79" fillId="0" borderId="0" xfId="0" applyFont="1" applyAlignment="1">
      <alignment vertical="center"/>
    </xf>
    <xf numFmtId="0" fontId="0" fillId="0" borderId="0" xfId="0" applyAlignment="1">
      <alignment vertical="center"/>
    </xf>
  </cellXfs>
  <cellStyles count="6">
    <cellStyle name="Normal" xfId="0" builtinId="0"/>
    <cellStyle name="Normal 2" xfId="1"/>
    <cellStyle name="Normal_lu_land_tot_21" xfId="2"/>
    <cellStyle name="Normal_lu_land_tot_21 2" xfId="3"/>
    <cellStyle name="Normal_Sheet1" xfId="4"/>
    <cellStyle name="Normal_Sheet1_1 2" xfId="5"/>
  </cellStyles>
  <dxfs count="32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838200</xdr:colOff>
      <xdr:row>5</xdr:row>
      <xdr:rowOff>0</xdr:rowOff>
    </xdr:to>
    <xdr:pic>
      <xdr:nvPicPr>
        <xdr:cNvPr id="2" name="Picture 4">
          <a:extLst>
            <a:ext uri="{FF2B5EF4-FFF2-40B4-BE49-F238E27FC236}">
              <a16:creationId xmlns:a16="http://schemas.microsoft.com/office/drawing/2014/main" id="{119FE9CF-5671-4987-8496-8BAC29252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3" name="Picture 5" descr="unep">
          <a:extLst>
            <a:ext uri="{FF2B5EF4-FFF2-40B4-BE49-F238E27FC236}">
              <a16:creationId xmlns:a16="http://schemas.microsoft.com/office/drawing/2014/main" id="{A814EF3F-0ED0-4B62-BCE8-1BB5458837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62725" y="152400"/>
          <a:ext cx="733425" cy="85725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18</xdr:row>
      <xdr:rowOff>1095375</xdr:rowOff>
    </xdr:from>
    <xdr:to>
      <xdr:col>5</xdr:col>
      <xdr:colOff>361950</xdr:colOff>
      <xdr:row>20</xdr:row>
      <xdr:rowOff>0</xdr:rowOff>
    </xdr:to>
    <xdr:sp macro="" textlink="">
      <xdr:nvSpPr>
        <xdr:cNvPr id="2" name="Line 213">
          <a:extLst>
            <a:ext uri="{FF2B5EF4-FFF2-40B4-BE49-F238E27FC236}">
              <a16:creationId xmlns:a16="http://schemas.microsoft.com/office/drawing/2014/main" id="{89421AE7-A102-4CD7-A143-288EE2B4B6D9}"/>
            </a:ext>
          </a:extLst>
        </xdr:cNvPr>
        <xdr:cNvSpPr>
          <a:spLocks noChangeShapeType="1"/>
        </xdr:cNvSpPr>
      </xdr:nvSpPr>
      <xdr:spPr bwMode="auto">
        <a:xfrm>
          <a:off x="1962150" y="5762625"/>
          <a:ext cx="0" cy="2762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1219200</xdr:colOff>
      <xdr:row>20</xdr:row>
      <xdr:rowOff>295275</xdr:rowOff>
    </xdr:from>
    <xdr:to>
      <xdr:col>11</xdr:col>
      <xdr:colOff>247650</xdr:colOff>
      <xdr:row>20</xdr:row>
      <xdr:rowOff>295275</xdr:rowOff>
    </xdr:to>
    <xdr:sp macro="" textlink="">
      <xdr:nvSpPr>
        <xdr:cNvPr id="3" name="Line 4">
          <a:extLst>
            <a:ext uri="{FF2B5EF4-FFF2-40B4-BE49-F238E27FC236}">
              <a16:creationId xmlns:a16="http://schemas.microsoft.com/office/drawing/2014/main" id="{5C505841-27E8-4209-9AF9-00A158C8AB09}"/>
            </a:ext>
          </a:extLst>
        </xdr:cNvPr>
        <xdr:cNvSpPr>
          <a:spLocks noChangeShapeType="1"/>
        </xdr:cNvSpPr>
      </xdr:nvSpPr>
      <xdr:spPr bwMode="auto">
        <a:xfrm flipV="1">
          <a:off x="7239000" y="6334125"/>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xdr:colOff>
      <xdr:row>13</xdr:row>
      <xdr:rowOff>219075</xdr:rowOff>
    </xdr:from>
    <xdr:to>
      <xdr:col>6</xdr:col>
      <xdr:colOff>9525</xdr:colOff>
      <xdr:row>13</xdr:row>
      <xdr:rowOff>219075</xdr:rowOff>
    </xdr:to>
    <xdr:sp macro="" textlink="">
      <xdr:nvSpPr>
        <xdr:cNvPr id="4" name="Line 7">
          <a:extLst>
            <a:ext uri="{FF2B5EF4-FFF2-40B4-BE49-F238E27FC236}">
              <a16:creationId xmlns:a16="http://schemas.microsoft.com/office/drawing/2014/main" id="{E628CE72-90F0-4AC6-BEDD-220500B701EA}"/>
            </a:ext>
          </a:extLst>
        </xdr:cNvPr>
        <xdr:cNvSpPr>
          <a:spLocks noChangeShapeType="1"/>
        </xdr:cNvSpPr>
      </xdr:nvSpPr>
      <xdr:spPr bwMode="auto">
        <a:xfrm flipV="1">
          <a:off x="1628775" y="3200400"/>
          <a:ext cx="1066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514350</xdr:colOff>
      <xdr:row>12</xdr:row>
      <xdr:rowOff>0</xdr:rowOff>
    </xdr:from>
    <xdr:to>
      <xdr:col>6</xdr:col>
      <xdr:colOff>514350</xdr:colOff>
      <xdr:row>13</xdr:row>
      <xdr:rowOff>0</xdr:rowOff>
    </xdr:to>
    <xdr:sp macro="" textlink="">
      <xdr:nvSpPr>
        <xdr:cNvPr id="5" name="Line 8">
          <a:extLst>
            <a:ext uri="{FF2B5EF4-FFF2-40B4-BE49-F238E27FC236}">
              <a16:creationId xmlns:a16="http://schemas.microsoft.com/office/drawing/2014/main" id="{726F2633-5366-456B-8EF1-031A249A2470}"/>
            </a:ext>
          </a:extLst>
        </xdr:cNvPr>
        <xdr:cNvSpPr>
          <a:spLocks noChangeShapeType="1"/>
        </xdr:cNvSpPr>
      </xdr:nvSpPr>
      <xdr:spPr bwMode="auto">
        <a:xfrm>
          <a:off x="3200400" y="2524125"/>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219075</xdr:colOff>
      <xdr:row>20</xdr:row>
      <xdr:rowOff>295275</xdr:rowOff>
    </xdr:from>
    <xdr:to>
      <xdr:col>11</xdr:col>
      <xdr:colOff>228600</xdr:colOff>
      <xdr:row>26</xdr:row>
      <xdr:rowOff>266700</xdr:rowOff>
    </xdr:to>
    <xdr:sp macro="" textlink="">
      <xdr:nvSpPr>
        <xdr:cNvPr id="6" name="Line 9">
          <a:extLst>
            <a:ext uri="{FF2B5EF4-FFF2-40B4-BE49-F238E27FC236}">
              <a16:creationId xmlns:a16="http://schemas.microsoft.com/office/drawing/2014/main" id="{60CAA567-339A-4A7A-91B9-110EE982E5ED}"/>
            </a:ext>
          </a:extLst>
        </xdr:cNvPr>
        <xdr:cNvSpPr>
          <a:spLocks noChangeShapeType="1"/>
        </xdr:cNvSpPr>
      </xdr:nvSpPr>
      <xdr:spPr bwMode="auto">
        <a:xfrm flipH="1">
          <a:off x="7591425" y="6334125"/>
          <a:ext cx="9525" cy="21240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409575</xdr:colOff>
      <xdr:row>17</xdr:row>
      <xdr:rowOff>200025</xdr:rowOff>
    </xdr:from>
    <xdr:to>
      <xdr:col>9</xdr:col>
      <xdr:colOff>561975</xdr:colOff>
      <xdr:row>17</xdr:row>
      <xdr:rowOff>200025</xdr:rowOff>
    </xdr:to>
    <xdr:sp macro="" textlink="">
      <xdr:nvSpPr>
        <xdr:cNvPr id="7" name="Line 10">
          <a:extLst>
            <a:ext uri="{FF2B5EF4-FFF2-40B4-BE49-F238E27FC236}">
              <a16:creationId xmlns:a16="http://schemas.microsoft.com/office/drawing/2014/main" id="{EDA4796E-843F-4883-85DD-D46159313786}"/>
            </a:ext>
          </a:extLst>
        </xdr:cNvPr>
        <xdr:cNvSpPr>
          <a:spLocks noChangeShapeType="1"/>
        </xdr:cNvSpPr>
      </xdr:nvSpPr>
      <xdr:spPr bwMode="auto">
        <a:xfrm flipH="1" flipV="1">
          <a:off x="942975" y="4457700"/>
          <a:ext cx="563880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22</xdr:row>
      <xdr:rowOff>323850</xdr:rowOff>
    </xdr:from>
    <xdr:to>
      <xdr:col>18</xdr:col>
      <xdr:colOff>28575</xdr:colOff>
      <xdr:row>30</xdr:row>
      <xdr:rowOff>295275</xdr:rowOff>
    </xdr:to>
    <xdr:sp macro="" textlink="">
      <xdr:nvSpPr>
        <xdr:cNvPr id="8" name="Line 35">
          <a:extLst>
            <a:ext uri="{FF2B5EF4-FFF2-40B4-BE49-F238E27FC236}">
              <a16:creationId xmlns:a16="http://schemas.microsoft.com/office/drawing/2014/main" id="{ED9558D0-2FA5-46E2-BE66-2796D247CF35}"/>
            </a:ext>
          </a:extLst>
        </xdr:cNvPr>
        <xdr:cNvSpPr>
          <a:spLocks noChangeShapeType="1"/>
        </xdr:cNvSpPr>
      </xdr:nvSpPr>
      <xdr:spPr bwMode="auto">
        <a:xfrm flipH="1" flipV="1">
          <a:off x="12515850" y="7124700"/>
          <a:ext cx="9525" cy="28098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276225</xdr:colOff>
      <xdr:row>28</xdr:row>
      <xdr:rowOff>152400</xdr:rowOff>
    </xdr:from>
    <xdr:to>
      <xdr:col>10</xdr:col>
      <xdr:colOff>123825</xdr:colOff>
      <xdr:row>28</xdr:row>
      <xdr:rowOff>152400</xdr:rowOff>
    </xdr:to>
    <xdr:sp macro="" textlink="">
      <xdr:nvSpPr>
        <xdr:cNvPr id="9" name="Line 49">
          <a:extLst>
            <a:ext uri="{FF2B5EF4-FFF2-40B4-BE49-F238E27FC236}">
              <a16:creationId xmlns:a16="http://schemas.microsoft.com/office/drawing/2014/main" id="{28894572-210A-428C-8F40-78328E54EAE4}"/>
            </a:ext>
          </a:extLst>
        </xdr:cNvPr>
        <xdr:cNvSpPr>
          <a:spLocks noChangeShapeType="1"/>
        </xdr:cNvSpPr>
      </xdr:nvSpPr>
      <xdr:spPr bwMode="auto">
        <a:xfrm flipV="1">
          <a:off x="7372350" y="90678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29</xdr:row>
      <xdr:rowOff>0</xdr:rowOff>
    </xdr:from>
    <xdr:to>
      <xdr:col>22</xdr:col>
      <xdr:colOff>0</xdr:colOff>
      <xdr:row>29</xdr:row>
      <xdr:rowOff>0</xdr:rowOff>
    </xdr:to>
    <xdr:sp macro="" textlink="">
      <xdr:nvSpPr>
        <xdr:cNvPr id="10" name="Line 56">
          <a:extLst>
            <a:ext uri="{FF2B5EF4-FFF2-40B4-BE49-F238E27FC236}">
              <a16:creationId xmlns:a16="http://schemas.microsoft.com/office/drawing/2014/main" id="{A090B3CD-B279-410D-A1B4-E0FF95D84BCA}"/>
            </a:ext>
          </a:extLst>
        </xdr:cNvPr>
        <xdr:cNvSpPr>
          <a:spLocks noChangeShapeType="1"/>
        </xdr:cNvSpPr>
      </xdr:nvSpPr>
      <xdr:spPr bwMode="auto">
        <a:xfrm flipV="1">
          <a:off x="14744700" y="9477375"/>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9525</xdr:rowOff>
    </xdr:from>
    <xdr:to>
      <xdr:col>22</xdr:col>
      <xdr:colOff>0</xdr:colOff>
      <xdr:row>30</xdr:row>
      <xdr:rowOff>9525</xdr:rowOff>
    </xdr:to>
    <xdr:sp macro="" textlink="">
      <xdr:nvSpPr>
        <xdr:cNvPr id="11" name="Line 57">
          <a:extLst>
            <a:ext uri="{FF2B5EF4-FFF2-40B4-BE49-F238E27FC236}">
              <a16:creationId xmlns:a16="http://schemas.microsoft.com/office/drawing/2014/main" id="{D1DFB7D1-0A95-43C2-BDE0-6015E52DF06B}"/>
            </a:ext>
          </a:extLst>
        </xdr:cNvPr>
        <xdr:cNvSpPr>
          <a:spLocks noChangeShapeType="1"/>
        </xdr:cNvSpPr>
      </xdr:nvSpPr>
      <xdr:spPr bwMode="auto">
        <a:xfrm>
          <a:off x="14744700" y="9648825"/>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22</xdr:row>
      <xdr:rowOff>276225</xdr:rowOff>
    </xdr:from>
    <xdr:to>
      <xdr:col>11</xdr:col>
      <xdr:colOff>238125</xdr:colOff>
      <xdr:row>22</xdr:row>
      <xdr:rowOff>276225</xdr:rowOff>
    </xdr:to>
    <xdr:sp macro="" textlink="">
      <xdr:nvSpPr>
        <xdr:cNvPr id="12" name="Line 73">
          <a:extLst>
            <a:ext uri="{FF2B5EF4-FFF2-40B4-BE49-F238E27FC236}">
              <a16:creationId xmlns:a16="http://schemas.microsoft.com/office/drawing/2014/main" id="{4E10FC6E-3232-404C-9421-5B964B881AFA}"/>
            </a:ext>
          </a:extLst>
        </xdr:cNvPr>
        <xdr:cNvSpPr>
          <a:spLocks noChangeShapeType="1"/>
        </xdr:cNvSpPr>
      </xdr:nvSpPr>
      <xdr:spPr bwMode="auto">
        <a:xfrm flipV="1">
          <a:off x="7267575" y="7077075"/>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485775</xdr:colOff>
      <xdr:row>8</xdr:row>
      <xdr:rowOff>9525</xdr:rowOff>
    </xdr:from>
    <xdr:to>
      <xdr:col>6</xdr:col>
      <xdr:colOff>485775</xdr:colOff>
      <xdr:row>11</xdr:row>
      <xdr:rowOff>28575</xdr:rowOff>
    </xdr:to>
    <xdr:sp macro="" textlink="">
      <xdr:nvSpPr>
        <xdr:cNvPr id="13" name="Line 202">
          <a:extLst>
            <a:ext uri="{FF2B5EF4-FFF2-40B4-BE49-F238E27FC236}">
              <a16:creationId xmlns:a16="http://schemas.microsoft.com/office/drawing/2014/main" id="{2F9E222D-D472-4D00-A372-F616E4DD829F}"/>
            </a:ext>
          </a:extLst>
        </xdr:cNvPr>
        <xdr:cNvSpPr>
          <a:spLocks noChangeShapeType="1"/>
        </xdr:cNvSpPr>
      </xdr:nvSpPr>
      <xdr:spPr bwMode="auto">
        <a:xfrm>
          <a:off x="3171825" y="1885950"/>
          <a:ext cx="0" cy="3619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457200</xdr:colOff>
      <xdr:row>8</xdr:row>
      <xdr:rowOff>9525</xdr:rowOff>
    </xdr:from>
    <xdr:to>
      <xdr:col>7</xdr:col>
      <xdr:colOff>466725</xdr:colOff>
      <xdr:row>11</xdr:row>
      <xdr:rowOff>0</xdr:rowOff>
    </xdr:to>
    <xdr:sp macro="" textlink="">
      <xdr:nvSpPr>
        <xdr:cNvPr id="14" name="Line 203">
          <a:extLst>
            <a:ext uri="{FF2B5EF4-FFF2-40B4-BE49-F238E27FC236}">
              <a16:creationId xmlns:a16="http://schemas.microsoft.com/office/drawing/2014/main" id="{5C91AB18-E4DA-4686-B549-DA7068F968CC}"/>
            </a:ext>
          </a:extLst>
        </xdr:cNvPr>
        <xdr:cNvSpPr>
          <a:spLocks noChangeShapeType="1"/>
        </xdr:cNvSpPr>
      </xdr:nvSpPr>
      <xdr:spPr bwMode="auto">
        <a:xfrm flipV="1">
          <a:off x="4248150" y="1885950"/>
          <a:ext cx="9525" cy="33337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219075</xdr:colOff>
      <xdr:row>24</xdr:row>
      <xdr:rowOff>209550</xdr:rowOff>
    </xdr:from>
    <xdr:to>
      <xdr:col>12</xdr:col>
      <xdr:colOff>142875</xdr:colOff>
      <xdr:row>24</xdr:row>
      <xdr:rowOff>209550</xdr:rowOff>
    </xdr:to>
    <xdr:sp macro="" textlink="">
      <xdr:nvSpPr>
        <xdr:cNvPr id="15" name="Line 204">
          <a:extLst>
            <a:ext uri="{FF2B5EF4-FFF2-40B4-BE49-F238E27FC236}">
              <a16:creationId xmlns:a16="http://schemas.microsoft.com/office/drawing/2014/main" id="{37748607-1662-4CAB-A245-9CCBA53DF4D3}"/>
            </a:ext>
          </a:extLst>
        </xdr:cNvPr>
        <xdr:cNvSpPr>
          <a:spLocks noChangeShapeType="1"/>
        </xdr:cNvSpPr>
      </xdr:nvSpPr>
      <xdr:spPr bwMode="auto">
        <a:xfrm flipV="1">
          <a:off x="7591425" y="7705725"/>
          <a:ext cx="5143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14</xdr:row>
      <xdr:rowOff>0</xdr:rowOff>
    </xdr:from>
    <xdr:to>
      <xdr:col>6</xdr:col>
      <xdr:colOff>523875</xdr:colOff>
      <xdr:row>16</xdr:row>
      <xdr:rowOff>28575</xdr:rowOff>
    </xdr:to>
    <xdr:sp macro="" textlink="">
      <xdr:nvSpPr>
        <xdr:cNvPr id="16" name="Line 205">
          <a:extLst>
            <a:ext uri="{FF2B5EF4-FFF2-40B4-BE49-F238E27FC236}">
              <a16:creationId xmlns:a16="http://schemas.microsoft.com/office/drawing/2014/main" id="{5B997127-019E-44DB-862E-9D49148619E9}"/>
            </a:ext>
          </a:extLst>
        </xdr:cNvPr>
        <xdr:cNvSpPr>
          <a:spLocks noChangeShapeType="1"/>
        </xdr:cNvSpPr>
      </xdr:nvSpPr>
      <xdr:spPr bwMode="auto">
        <a:xfrm>
          <a:off x="3209925" y="3571875"/>
          <a:ext cx="0" cy="5524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190500</xdr:rowOff>
    </xdr:from>
    <xdr:to>
      <xdr:col>4</xdr:col>
      <xdr:colOff>419100</xdr:colOff>
      <xdr:row>18</xdr:row>
      <xdr:rowOff>0</xdr:rowOff>
    </xdr:to>
    <xdr:sp macro="" textlink="">
      <xdr:nvSpPr>
        <xdr:cNvPr id="17" name="Line 206">
          <a:extLst>
            <a:ext uri="{FF2B5EF4-FFF2-40B4-BE49-F238E27FC236}">
              <a16:creationId xmlns:a16="http://schemas.microsoft.com/office/drawing/2014/main" id="{8D591D2D-CCCC-4D4D-A392-F805A4FA265B}"/>
            </a:ext>
          </a:extLst>
        </xdr:cNvPr>
        <xdr:cNvSpPr>
          <a:spLocks noChangeShapeType="1"/>
        </xdr:cNvSpPr>
      </xdr:nvSpPr>
      <xdr:spPr bwMode="auto">
        <a:xfrm>
          <a:off x="952500" y="4448175"/>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476250</xdr:colOff>
      <xdr:row>17</xdr:row>
      <xdr:rowOff>209550</xdr:rowOff>
    </xdr:from>
    <xdr:to>
      <xdr:col>5</xdr:col>
      <xdr:colOff>476250</xdr:colOff>
      <xdr:row>18</xdr:row>
      <xdr:rowOff>0</xdr:rowOff>
    </xdr:to>
    <xdr:sp macro="" textlink="">
      <xdr:nvSpPr>
        <xdr:cNvPr id="18" name="Line 207">
          <a:extLst>
            <a:ext uri="{FF2B5EF4-FFF2-40B4-BE49-F238E27FC236}">
              <a16:creationId xmlns:a16="http://schemas.microsoft.com/office/drawing/2014/main" id="{212027A8-1636-41B2-9AF0-37617D9B2FB6}"/>
            </a:ext>
          </a:extLst>
        </xdr:cNvPr>
        <xdr:cNvSpPr>
          <a:spLocks noChangeShapeType="1"/>
        </xdr:cNvSpPr>
      </xdr:nvSpPr>
      <xdr:spPr bwMode="auto">
        <a:xfrm>
          <a:off x="2076450" y="4467225"/>
          <a:ext cx="0" cy="2000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533400</xdr:colOff>
      <xdr:row>17</xdr:row>
      <xdr:rowOff>200025</xdr:rowOff>
    </xdr:from>
    <xdr:to>
      <xdr:col>6</xdr:col>
      <xdr:colOff>533400</xdr:colOff>
      <xdr:row>18</xdr:row>
      <xdr:rowOff>0</xdr:rowOff>
    </xdr:to>
    <xdr:sp macro="" textlink="">
      <xdr:nvSpPr>
        <xdr:cNvPr id="19" name="Line 208">
          <a:extLst>
            <a:ext uri="{FF2B5EF4-FFF2-40B4-BE49-F238E27FC236}">
              <a16:creationId xmlns:a16="http://schemas.microsoft.com/office/drawing/2014/main" id="{646FAD49-C2A1-4816-8C0A-3226CE2C67D4}"/>
            </a:ext>
          </a:extLst>
        </xdr:cNvPr>
        <xdr:cNvSpPr>
          <a:spLocks noChangeShapeType="1"/>
        </xdr:cNvSpPr>
      </xdr:nvSpPr>
      <xdr:spPr bwMode="auto">
        <a:xfrm>
          <a:off x="3219450" y="4457700"/>
          <a:ext cx="0" cy="2095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523875</xdr:colOff>
      <xdr:row>17</xdr:row>
      <xdr:rowOff>190500</xdr:rowOff>
    </xdr:from>
    <xdr:to>
      <xdr:col>7</xdr:col>
      <xdr:colOff>533400</xdr:colOff>
      <xdr:row>18</xdr:row>
      <xdr:rowOff>0</xdr:rowOff>
    </xdr:to>
    <xdr:sp macro="" textlink="">
      <xdr:nvSpPr>
        <xdr:cNvPr id="20" name="Line 209">
          <a:extLst>
            <a:ext uri="{FF2B5EF4-FFF2-40B4-BE49-F238E27FC236}">
              <a16:creationId xmlns:a16="http://schemas.microsoft.com/office/drawing/2014/main" id="{FD40FC2C-6719-49F9-9BD0-AED715CD5683}"/>
            </a:ext>
          </a:extLst>
        </xdr:cNvPr>
        <xdr:cNvSpPr>
          <a:spLocks noChangeShapeType="1"/>
        </xdr:cNvSpPr>
      </xdr:nvSpPr>
      <xdr:spPr bwMode="auto">
        <a:xfrm>
          <a:off x="4314825" y="4448175"/>
          <a:ext cx="9525"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514350</xdr:colOff>
      <xdr:row>17</xdr:row>
      <xdr:rowOff>200025</xdr:rowOff>
    </xdr:from>
    <xdr:to>
      <xdr:col>8</xdr:col>
      <xdr:colOff>514350</xdr:colOff>
      <xdr:row>18</xdr:row>
      <xdr:rowOff>9525</xdr:rowOff>
    </xdr:to>
    <xdr:sp macro="" textlink="">
      <xdr:nvSpPr>
        <xdr:cNvPr id="21" name="Line 210">
          <a:extLst>
            <a:ext uri="{FF2B5EF4-FFF2-40B4-BE49-F238E27FC236}">
              <a16:creationId xmlns:a16="http://schemas.microsoft.com/office/drawing/2014/main" id="{A7B40FE4-6ACC-4222-9533-1B4BC3DD1ADD}"/>
            </a:ext>
          </a:extLst>
        </xdr:cNvPr>
        <xdr:cNvSpPr>
          <a:spLocks noChangeShapeType="1"/>
        </xdr:cNvSpPr>
      </xdr:nvSpPr>
      <xdr:spPr bwMode="auto">
        <a:xfrm>
          <a:off x="5438775" y="445770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561975</xdr:colOff>
      <xdr:row>17</xdr:row>
      <xdr:rowOff>171450</xdr:rowOff>
    </xdr:from>
    <xdr:to>
      <xdr:col>9</xdr:col>
      <xdr:colOff>561975</xdr:colOff>
      <xdr:row>18</xdr:row>
      <xdr:rowOff>19050</xdr:rowOff>
    </xdr:to>
    <xdr:sp macro="" textlink="">
      <xdr:nvSpPr>
        <xdr:cNvPr id="22" name="Line 211">
          <a:extLst>
            <a:ext uri="{FF2B5EF4-FFF2-40B4-BE49-F238E27FC236}">
              <a16:creationId xmlns:a16="http://schemas.microsoft.com/office/drawing/2014/main" id="{5F4D42EC-9114-409A-B535-28DE3BD34230}"/>
            </a:ext>
          </a:extLst>
        </xdr:cNvPr>
        <xdr:cNvSpPr>
          <a:spLocks noChangeShapeType="1"/>
        </xdr:cNvSpPr>
      </xdr:nvSpPr>
      <xdr:spPr bwMode="auto">
        <a:xfrm>
          <a:off x="6581775" y="4429125"/>
          <a:ext cx="0" cy="2571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438150</xdr:colOff>
      <xdr:row>19</xdr:row>
      <xdr:rowOff>0</xdr:rowOff>
    </xdr:from>
    <xdr:to>
      <xdr:col>4</xdr:col>
      <xdr:colOff>438150</xdr:colOff>
      <xdr:row>20</xdr:row>
      <xdr:rowOff>0</xdr:rowOff>
    </xdr:to>
    <xdr:sp macro="" textlink="">
      <xdr:nvSpPr>
        <xdr:cNvPr id="23" name="Line 212">
          <a:extLst>
            <a:ext uri="{FF2B5EF4-FFF2-40B4-BE49-F238E27FC236}">
              <a16:creationId xmlns:a16="http://schemas.microsoft.com/office/drawing/2014/main" id="{8A92C5A0-BF9F-4188-923C-5C7B1CA2FDA9}"/>
            </a:ext>
          </a:extLst>
        </xdr:cNvPr>
        <xdr:cNvSpPr>
          <a:spLocks noChangeShapeType="1"/>
        </xdr:cNvSpPr>
      </xdr:nvSpPr>
      <xdr:spPr bwMode="auto">
        <a:xfrm>
          <a:off x="971550" y="5762625"/>
          <a:ext cx="0" cy="2762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428625</xdr:colOff>
      <xdr:row>19</xdr:row>
      <xdr:rowOff>0</xdr:rowOff>
    </xdr:from>
    <xdr:to>
      <xdr:col>6</xdr:col>
      <xdr:colOff>428625</xdr:colOff>
      <xdr:row>20</xdr:row>
      <xdr:rowOff>9525</xdr:rowOff>
    </xdr:to>
    <xdr:sp macro="" textlink="">
      <xdr:nvSpPr>
        <xdr:cNvPr id="24" name="Line 214">
          <a:extLst>
            <a:ext uri="{FF2B5EF4-FFF2-40B4-BE49-F238E27FC236}">
              <a16:creationId xmlns:a16="http://schemas.microsoft.com/office/drawing/2014/main" id="{88085668-4CB2-4E63-ADC3-4440EE557820}"/>
            </a:ext>
          </a:extLst>
        </xdr:cNvPr>
        <xdr:cNvSpPr>
          <a:spLocks noChangeShapeType="1"/>
        </xdr:cNvSpPr>
      </xdr:nvSpPr>
      <xdr:spPr bwMode="auto">
        <a:xfrm>
          <a:off x="3114675" y="5762625"/>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19</xdr:row>
      <xdr:rowOff>0</xdr:rowOff>
    </xdr:from>
    <xdr:to>
      <xdr:col>7</xdr:col>
      <xdr:colOff>552450</xdr:colOff>
      <xdr:row>20</xdr:row>
      <xdr:rowOff>9525</xdr:rowOff>
    </xdr:to>
    <xdr:sp macro="" textlink="">
      <xdr:nvSpPr>
        <xdr:cNvPr id="25" name="Line 215">
          <a:extLst>
            <a:ext uri="{FF2B5EF4-FFF2-40B4-BE49-F238E27FC236}">
              <a16:creationId xmlns:a16="http://schemas.microsoft.com/office/drawing/2014/main" id="{0847B045-FA6E-4738-A9BF-B78B248902FD}"/>
            </a:ext>
          </a:extLst>
        </xdr:cNvPr>
        <xdr:cNvSpPr>
          <a:spLocks noChangeShapeType="1"/>
        </xdr:cNvSpPr>
      </xdr:nvSpPr>
      <xdr:spPr bwMode="auto">
        <a:xfrm>
          <a:off x="4343400" y="5762625"/>
          <a:ext cx="0"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542925</xdr:colOff>
      <xdr:row>19</xdr:row>
      <xdr:rowOff>9525</xdr:rowOff>
    </xdr:from>
    <xdr:to>
      <xdr:col>8</xdr:col>
      <xdr:colOff>542925</xdr:colOff>
      <xdr:row>20</xdr:row>
      <xdr:rowOff>9525</xdr:rowOff>
    </xdr:to>
    <xdr:sp macro="" textlink="">
      <xdr:nvSpPr>
        <xdr:cNvPr id="26" name="Line 216">
          <a:extLst>
            <a:ext uri="{FF2B5EF4-FFF2-40B4-BE49-F238E27FC236}">
              <a16:creationId xmlns:a16="http://schemas.microsoft.com/office/drawing/2014/main" id="{C66F681A-4EE3-4307-A6F6-6440657EF50B}"/>
            </a:ext>
          </a:extLst>
        </xdr:cNvPr>
        <xdr:cNvSpPr>
          <a:spLocks noChangeShapeType="1"/>
        </xdr:cNvSpPr>
      </xdr:nvSpPr>
      <xdr:spPr bwMode="auto">
        <a:xfrm flipH="1">
          <a:off x="5467350" y="5772150"/>
          <a:ext cx="0" cy="2762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590550</xdr:colOff>
      <xdr:row>19</xdr:row>
      <xdr:rowOff>0</xdr:rowOff>
    </xdr:from>
    <xdr:to>
      <xdr:col>9</xdr:col>
      <xdr:colOff>600075</xdr:colOff>
      <xdr:row>20</xdr:row>
      <xdr:rowOff>9525</xdr:rowOff>
    </xdr:to>
    <xdr:sp macro="" textlink="">
      <xdr:nvSpPr>
        <xdr:cNvPr id="27" name="Line 217">
          <a:extLst>
            <a:ext uri="{FF2B5EF4-FFF2-40B4-BE49-F238E27FC236}">
              <a16:creationId xmlns:a16="http://schemas.microsoft.com/office/drawing/2014/main" id="{2597AE17-95AD-4D37-AFD5-44752600C84F}"/>
            </a:ext>
          </a:extLst>
        </xdr:cNvPr>
        <xdr:cNvSpPr>
          <a:spLocks noChangeShapeType="1"/>
        </xdr:cNvSpPr>
      </xdr:nvSpPr>
      <xdr:spPr bwMode="auto">
        <a:xfrm>
          <a:off x="6610350" y="5762625"/>
          <a:ext cx="9525" cy="28575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9525</xdr:colOff>
      <xdr:row>24</xdr:row>
      <xdr:rowOff>304800</xdr:rowOff>
    </xdr:from>
    <xdr:to>
      <xdr:col>11</xdr:col>
      <xdr:colOff>219075</xdr:colOff>
      <xdr:row>24</xdr:row>
      <xdr:rowOff>304800</xdr:rowOff>
    </xdr:to>
    <xdr:sp macro="" textlink="">
      <xdr:nvSpPr>
        <xdr:cNvPr id="28" name="Line 218">
          <a:extLst>
            <a:ext uri="{FF2B5EF4-FFF2-40B4-BE49-F238E27FC236}">
              <a16:creationId xmlns:a16="http://schemas.microsoft.com/office/drawing/2014/main" id="{4542D486-97A2-4C48-AD1E-1EB014A4C734}"/>
            </a:ext>
          </a:extLst>
        </xdr:cNvPr>
        <xdr:cNvSpPr>
          <a:spLocks noChangeShapeType="1"/>
        </xdr:cNvSpPr>
      </xdr:nvSpPr>
      <xdr:spPr bwMode="auto">
        <a:xfrm>
          <a:off x="7258050" y="7800975"/>
          <a:ext cx="333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1219200</xdr:colOff>
      <xdr:row>26</xdr:row>
      <xdr:rowOff>257175</xdr:rowOff>
    </xdr:from>
    <xdr:to>
      <xdr:col>11</xdr:col>
      <xdr:colOff>209550</xdr:colOff>
      <xdr:row>26</xdr:row>
      <xdr:rowOff>257175</xdr:rowOff>
    </xdr:to>
    <xdr:sp macro="" textlink="">
      <xdr:nvSpPr>
        <xdr:cNvPr id="29" name="Line 219">
          <a:extLst>
            <a:ext uri="{FF2B5EF4-FFF2-40B4-BE49-F238E27FC236}">
              <a16:creationId xmlns:a16="http://schemas.microsoft.com/office/drawing/2014/main" id="{78EF2A34-1B9B-450A-BBBC-CF82F6334037}"/>
            </a:ext>
          </a:extLst>
        </xdr:cNvPr>
        <xdr:cNvSpPr>
          <a:spLocks noChangeShapeType="1"/>
        </xdr:cNvSpPr>
      </xdr:nvSpPr>
      <xdr:spPr bwMode="auto">
        <a:xfrm>
          <a:off x="7239000" y="8448675"/>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390525</xdr:colOff>
      <xdr:row>24</xdr:row>
      <xdr:rowOff>209550</xdr:rowOff>
    </xdr:from>
    <xdr:to>
      <xdr:col>14</xdr:col>
      <xdr:colOff>390525</xdr:colOff>
      <xdr:row>27</xdr:row>
      <xdr:rowOff>28575</xdr:rowOff>
    </xdr:to>
    <xdr:sp macro="" textlink="">
      <xdr:nvSpPr>
        <xdr:cNvPr id="30" name="Line 223">
          <a:extLst>
            <a:ext uri="{FF2B5EF4-FFF2-40B4-BE49-F238E27FC236}">
              <a16:creationId xmlns:a16="http://schemas.microsoft.com/office/drawing/2014/main" id="{01D02B23-A409-4B30-A3E6-7885FBB1D52F}"/>
            </a:ext>
          </a:extLst>
        </xdr:cNvPr>
        <xdr:cNvSpPr>
          <a:spLocks noChangeShapeType="1"/>
        </xdr:cNvSpPr>
      </xdr:nvSpPr>
      <xdr:spPr bwMode="auto">
        <a:xfrm>
          <a:off x="9829800" y="7705725"/>
          <a:ext cx="0" cy="10668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24</xdr:row>
      <xdr:rowOff>209550</xdr:rowOff>
    </xdr:from>
    <xdr:to>
      <xdr:col>15</xdr:col>
      <xdr:colOff>0</xdr:colOff>
      <xdr:row>24</xdr:row>
      <xdr:rowOff>219075</xdr:rowOff>
    </xdr:to>
    <xdr:sp macro="" textlink="">
      <xdr:nvSpPr>
        <xdr:cNvPr id="31" name="Line 224">
          <a:extLst>
            <a:ext uri="{FF2B5EF4-FFF2-40B4-BE49-F238E27FC236}">
              <a16:creationId xmlns:a16="http://schemas.microsoft.com/office/drawing/2014/main" id="{F42C4761-BD25-49AB-A3DC-E207CC970187}"/>
            </a:ext>
          </a:extLst>
        </xdr:cNvPr>
        <xdr:cNvSpPr>
          <a:spLocks noChangeShapeType="1"/>
        </xdr:cNvSpPr>
      </xdr:nvSpPr>
      <xdr:spPr bwMode="auto">
        <a:xfrm flipV="1">
          <a:off x="9467850" y="7705725"/>
          <a:ext cx="76200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24</xdr:row>
      <xdr:rowOff>190500</xdr:rowOff>
    </xdr:from>
    <xdr:to>
      <xdr:col>18</xdr:col>
      <xdr:colOff>38100</xdr:colOff>
      <xdr:row>24</xdr:row>
      <xdr:rowOff>190500</xdr:rowOff>
    </xdr:to>
    <xdr:sp macro="" textlink="">
      <xdr:nvSpPr>
        <xdr:cNvPr id="32" name="Line 230">
          <a:extLst>
            <a:ext uri="{FF2B5EF4-FFF2-40B4-BE49-F238E27FC236}">
              <a16:creationId xmlns:a16="http://schemas.microsoft.com/office/drawing/2014/main" id="{06D254C7-0CDC-44C3-A576-A99B46980B19}"/>
            </a:ext>
          </a:extLst>
        </xdr:cNvPr>
        <xdr:cNvSpPr>
          <a:spLocks noChangeShapeType="1"/>
        </xdr:cNvSpPr>
      </xdr:nvSpPr>
      <xdr:spPr bwMode="auto">
        <a:xfrm flipV="1">
          <a:off x="11325225" y="7686675"/>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26</xdr:row>
      <xdr:rowOff>266700</xdr:rowOff>
    </xdr:from>
    <xdr:to>
      <xdr:col>19</xdr:col>
      <xdr:colOff>0</xdr:colOff>
      <xdr:row>26</xdr:row>
      <xdr:rowOff>266700</xdr:rowOff>
    </xdr:to>
    <xdr:sp macro="" textlink="">
      <xdr:nvSpPr>
        <xdr:cNvPr id="33" name="Line 231">
          <a:extLst>
            <a:ext uri="{FF2B5EF4-FFF2-40B4-BE49-F238E27FC236}">
              <a16:creationId xmlns:a16="http://schemas.microsoft.com/office/drawing/2014/main" id="{06303438-08DD-4081-997A-30044EE58BDF}"/>
            </a:ext>
          </a:extLst>
        </xdr:cNvPr>
        <xdr:cNvSpPr>
          <a:spLocks noChangeShapeType="1"/>
        </xdr:cNvSpPr>
      </xdr:nvSpPr>
      <xdr:spPr bwMode="auto">
        <a:xfrm>
          <a:off x="12506325" y="8458200"/>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xdr:colOff>
      <xdr:row>28</xdr:row>
      <xdr:rowOff>285750</xdr:rowOff>
    </xdr:from>
    <xdr:to>
      <xdr:col>18</xdr:col>
      <xdr:colOff>323850</xdr:colOff>
      <xdr:row>28</xdr:row>
      <xdr:rowOff>285750</xdr:rowOff>
    </xdr:to>
    <xdr:sp macro="" textlink="">
      <xdr:nvSpPr>
        <xdr:cNvPr id="34" name="Line 232">
          <a:extLst>
            <a:ext uri="{FF2B5EF4-FFF2-40B4-BE49-F238E27FC236}">
              <a16:creationId xmlns:a16="http://schemas.microsoft.com/office/drawing/2014/main" id="{514A2938-130A-46A3-B495-2BE799BE5A15}"/>
            </a:ext>
          </a:extLst>
        </xdr:cNvPr>
        <xdr:cNvSpPr>
          <a:spLocks noChangeShapeType="1"/>
        </xdr:cNvSpPr>
      </xdr:nvSpPr>
      <xdr:spPr bwMode="auto">
        <a:xfrm>
          <a:off x="12515850" y="920115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28575</xdr:colOff>
      <xdr:row>30</xdr:row>
      <xdr:rowOff>276225</xdr:rowOff>
    </xdr:from>
    <xdr:to>
      <xdr:col>19</xdr:col>
      <xdr:colOff>0</xdr:colOff>
      <xdr:row>30</xdr:row>
      <xdr:rowOff>276225</xdr:rowOff>
    </xdr:to>
    <xdr:sp macro="" textlink="">
      <xdr:nvSpPr>
        <xdr:cNvPr id="35" name="Line 233">
          <a:extLst>
            <a:ext uri="{FF2B5EF4-FFF2-40B4-BE49-F238E27FC236}">
              <a16:creationId xmlns:a16="http://schemas.microsoft.com/office/drawing/2014/main" id="{A02C4D8C-770F-4600-AC71-43258569C0E4}"/>
            </a:ext>
          </a:extLst>
        </xdr:cNvPr>
        <xdr:cNvSpPr>
          <a:spLocks noChangeShapeType="1"/>
        </xdr:cNvSpPr>
      </xdr:nvSpPr>
      <xdr:spPr bwMode="auto">
        <a:xfrm>
          <a:off x="12525375" y="9915525"/>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17</xdr:row>
      <xdr:rowOff>0</xdr:rowOff>
    </xdr:from>
    <xdr:to>
      <xdr:col>7</xdr:col>
      <xdr:colOff>190500</xdr:colOff>
      <xdr:row>17</xdr:row>
      <xdr:rowOff>180975</xdr:rowOff>
    </xdr:to>
    <xdr:sp macro="" textlink="">
      <xdr:nvSpPr>
        <xdr:cNvPr id="36" name="Line 247">
          <a:extLst>
            <a:ext uri="{FF2B5EF4-FFF2-40B4-BE49-F238E27FC236}">
              <a16:creationId xmlns:a16="http://schemas.microsoft.com/office/drawing/2014/main" id="{396AEE50-920A-47E4-BA90-6D153D3ACB03}"/>
            </a:ext>
          </a:extLst>
        </xdr:cNvPr>
        <xdr:cNvSpPr>
          <a:spLocks noChangeShapeType="1"/>
        </xdr:cNvSpPr>
      </xdr:nvSpPr>
      <xdr:spPr bwMode="auto">
        <a:xfrm flipH="1" flipV="1">
          <a:off x="3981450" y="4257675"/>
          <a:ext cx="0" cy="180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19050</xdr:colOff>
      <xdr:row>24</xdr:row>
      <xdr:rowOff>304800</xdr:rowOff>
    </xdr:from>
    <xdr:to>
      <xdr:col>19</xdr:col>
      <xdr:colOff>9525</xdr:colOff>
      <xdr:row>24</xdr:row>
      <xdr:rowOff>314325</xdr:rowOff>
    </xdr:to>
    <xdr:sp macro="" textlink="">
      <xdr:nvSpPr>
        <xdr:cNvPr id="37" name="Line 248">
          <a:extLst>
            <a:ext uri="{FF2B5EF4-FFF2-40B4-BE49-F238E27FC236}">
              <a16:creationId xmlns:a16="http://schemas.microsoft.com/office/drawing/2014/main" id="{3E7F1B57-DBDE-472F-882A-B88547B6AA18}"/>
            </a:ext>
          </a:extLst>
        </xdr:cNvPr>
        <xdr:cNvSpPr>
          <a:spLocks noChangeShapeType="1"/>
        </xdr:cNvSpPr>
      </xdr:nvSpPr>
      <xdr:spPr bwMode="auto">
        <a:xfrm flipV="1">
          <a:off x="12515850" y="7800975"/>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295275</xdr:colOff>
      <xdr:row>12</xdr:row>
      <xdr:rowOff>152400</xdr:rowOff>
    </xdr:from>
    <xdr:to>
      <xdr:col>8</xdr:col>
      <xdr:colOff>1066800</xdr:colOff>
      <xdr:row>12</xdr:row>
      <xdr:rowOff>152400</xdr:rowOff>
    </xdr:to>
    <xdr:sp macro="" textlink="">
      <xdr:nvSpPr>
        <xdr:cNvPr id="38" name="Line 14">
          <a:extLst>
            <a:ext uri="{FF2B5EF4-FFF2-40B4-BE49-F238E27FC236}">
              <a16:creationId xmlns:a16="http://schemas.microsoft.com/office/drawing/2014/main" id="{9458311A-FE58-4029-924B-76FA9B4EFBF0}"/>
            </a:ext>
          </a:extLst>
        </xdr:cNvPr>
        <xdr:cNvSpPr>
          <a:spLocks noChangeShapeType="1"/>
        </xdr:cNvSpPr>
      </xdr:nvSpPr>
      <xdr:spPr bwMode="auto">
        <a:xfrm flipV="1">
          <a:off x="5219700" y="2676525"/>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295275</xdr:colOff>
      <xdr:row>12</xdr:row>
      <xdr:rowOff>133350</xdr:rowOff>
    </xdr:from>
    <xdr:to>
      <xdr:col>8</xdr:col>
      <xdr:colOff>295275</xdr:colOff>
      <xdr:row>14</xdr:row>
      <xdr:rowOff>180975</xdr:rowOff>
    </xdr:to>
    <xdr:sp macro="" textlink="">
      <xdr:nvSpPr>
        <xdr:cNvPr id="39" name="Line 14">
          <a:extLst>
            <a:ext uri="{FF2B5EF4-FFF2-40B4-BE49-F238E27FC236}">
              <a16:creationId xmlns:a16="http://schemas.microsoft.com/office/drawing/2014/main" id="{BB5F087A-5C03-4D20-B710-1622D91E8909}"/>
            </a:ext>
          </a:extLst>
        </xdr:cNvPr>
        <xdr:cNvSpPr>
          <a:spLocks noChangeShapeType="1"/>
        </xdr:cNvSpPr>
      </xdr:nvSpPr>
      <xdr:spPr bwMode="auto">
        <a:xfrm flipV="1">
          <a:off x="5219700" y="2657475"/>
          <a:ext cx="0" cy="1095375"/>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14</xdr:row>
      <xdr:rowOff>161925</xdr:rowOff>
    </xdr:from>
    <xdr:to>
      <xdr:col>8</xdr:col>
      <xdr:colOff>1085850</xdr:colOff>
      <xdr:row>14</xdr:row>
      <xdr:rowOff>161925</xdr:rowOff>
    </xdr:to>
    <xdr:sp macro="" textlink="">
      <xdr:nvSpPr>
        <xdr:cNvPr id="40" name="Line 14">
          <a:extLst>
            <a:ext uri="{FF2B5EF4-FFF2-40B4-BE49-F238E27FC236}">
              <a16:creationId xmlns:a16="http://schemas.microsoft.com/office/drawing/2014/main" id="{5F16B03E-E7EF-42D7-A82A-CF1CC691A975}"/>
            </a:ext>
          </a:extLst>
        </xdr:cNvPr>
        <xdr:cNvSpPr>
          <a:spLocks noChangeShapeType="1"/>
        </xdr:cNvSpPr>
      </xdr:nvSpPr>
      <xdr:spPr bwMode="auto">
        <a:xfrm flipV="1">
          <a:off x="5238750" y="3733800"/>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533400</xdr:colOff>
      <xdr:row>73</xdr:row>
      <xdr:rowOff>142875</xdr:rowOff>
    </xdr:from>
    <xdr:to>
      <xdr:col>42</xdr:col>
      <xdr:colOff>9525</xdr:colOff>
      <xdr:row>73</xdr:row>
      <xdr:rowOff>142875</xdr:rowOff>
    </xdr:to>
    <xdr:sp macro="" textlink="">
      <xdr:nvSpPr>
        <xdr:cNvPr id="41" name="Line 231">
          <a:extLst>
            <a:ext uri="{FF2B5EF4-FFF2-40B4-BE49-F238E27FC236}">
              <a16:creationId xmlns:a16="http://schemas.microsoft.com/office/drawing/2014/main" id="{3AB654A2-73FD-4F56-8D34-9E22A944742B}"/>
            </a:ext>
          </a:extLst>
        </xdr:cNvPr>
        <xdr:cNvSpPr>
          <a:spLocks noChangeShapeType="1"/>
        </xdr:cNvSpPr>
      </xdr:nvSpPr>
      <xdr:spPr bwMode="auto">
        <a:xfrm flipV="1">
          <a:off x="24974550" y="16563975"/>
          <a:ext cx="276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xdr:colOff>
      <xdr:row>22</xdr:row>
      <xdr:rowOff>333375</xdr:rowOff>
    </xdr:from>
    <xdr:to>
      <xdr:col>19</xdr:col>
      <xdr:colOff>9525</xdr:colOff>
      <xdr:row>22</xdr:row>
      <xdr:rowOff>342900</xdr:rowOff>
    </xdr:to>
    <xdr:sp macro="" textlink="">
      <xdr:nvSpPr>
        <xdr:cNvPr id="42" name="Line 248">
          <a:extLst>
            <a:ext uri="{FF2B5EF4-FFF2-40B4-BE49-F238E27FC236}">
              <a16:creationId xmlns:a16="http://schemas.microsoft.com/office/drawing/2014/main" id="{01DE0F8C-5F4B-40FA-876D-DB897BF3A0A7}"/>
            </a:ext>
          </a:extLst>
        </xdr:cNvPr>
        <xdr:cNvSpPr>
          <a:spLocks noChangeShapeType="1"/>
        </xdr:cNvSpPr>
      </xdr:nvSpPr>
      <xdr:spPr bwMode="auto">
        <a:xfrm flipV="1">
          <a:off x="12515850" y="7134225"/>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1085850</xdr:colOff>
      <xdr:row>13</xdr:row>
      <xdr:rowOff>295275</xdr:rowOff>
    </xdr:from>
    <xdr:to>
      <xdr:col>8</xdr:col>
      <xdr:colOff>295275</xdr:colOff>
      <xdr:row>13</xdr:row>
      <xdr:rowOff>295275</xdr:rowOff>
    </xdr:to>
    <xdr:sp macro="" textlink="">
      <xdr:nvSpPr>
        <xdr:cNvPr id="43" name="Line 14">
          <a:extLst>
            <a:ext uri="{FF2B5EF4-FFF2-40B4-BE49-F238E27FC236}">
              <a16:creationId xmlns:a16="http://schemas.microsoft.com/office/drawing/2014/main" id="{E59B2E60-A2B1-4D82-AB96-5C422A48EA74}"/>
            </a:ext>
          </a:extLst>
        </xdr:cNvPr>
        <xdr:cNvSpPr>
          <a:spLocks noChangeShapeType="1"/>
        </xdr:cNvSpPr>
      </xdr:nvSpPr>
      <xdr:spPr bwMode="auto">
        <a:xfrm flipV="1">
          <a:off x="3771900" y="3276600"/>
          <a:ext cx="144780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9525</xdr:colOff>
      <xdr:row>29</xdr:row>
      <xdr:rowOff>238125</xdr:rowOff>
    </xdr:from>
    <xdr:to>
      <xdr:col>41</xdr:col>
      <xdr:colOff>381000</xdr:colOff>
      <xdr:row>29</xdr:row>
      <xdr:rowOff>238125</xdr:rowOff>
    </xdr:to>
    <xdr:sp macro="" textlink="">
      <xdr:nvSpPr>
        <xdr:cNvPr id="35059" name="Line 20">
          <a:extLst>
            <a:ext uri="{FF2B5EF4-FFF2-40B4-BE49-F238E27FC236}">
              <a16:creationId xmlns:a16="http://schemas.microsoft.com/office/drawing/2014/main" id="{00000000-0008-0000-0300-0000F3880000}"/>
            </a:ext>
          </a:extLst>
        </xdr:cNvPr>
        <xdr:cNvSpPr>
          <a:spLocks noChangeShapeType="1"/>
        </xdr:cNvSpPr>
      </xdr:nvSpPr>
      <xdr:spPr bwMode="auto">
        <a:xfrm flipV="1">
          <a:off x="12315825" y="7648575"/>
          <a:ext cx="476250" cy="0"/>
        </a:xfrm>
        <a:prstGeom prst="line">
          <a:avLst/>
        </a:prstGeom>
        <a:noFill/>
        <a:ln w="28575">
          <a:solidFill>
            <a:srgbClr val="800000"/>
          </a:solidFill>
          <a:round/>
          <a:headEnd/>
          <a:tailEnd/>
        </a:ln>
      </xdr:spPr>
    </xdr:sp>
    <xdr:clientData/>
  </xdr:twoCellAnchor>
  <xdr:twoCellAnchor>
    <xdr:from>
      <xdr:col>37</xdr:col>
      <xdr:colOff>171450</xdr:colOff>
      <xdr:row>28</xdr:row>
      <xdr:rowOff>0</xdr:rowOff>
    </xdr:from>
    <xdr:to>
      <xdr:col>37</xdr:col>
      <xdr:colOff>171450</xdr:colOff>
      <xdr:row>29</xdr:row>
      <xdr:rowOff>0</xdr:rowOff>
    </xdr:to>
    <xdr:sp macro="" textlink="">
      <xdr:nvSpPr>
        <xdr:cNvPr id="35060" name="Line 21">
          <a:extLst>
            <a:ext uri="{FF2B5EF4-FFF2-40B4-BE49-F238E27FC236}">
              <a16:creationId xmlns:a16="http://schemas.microsoft.com/office/drawing/2014/main" id="{00000000-0008-0000-0300-0000F4880000}"/>
            </a:ext>
          </a:extLst>
        </xdr:cNvPr>
        <xdr:cNvSpPr>
          <a:spLocks noChangeShapeType="1"/>
        </xdr:cNvSpPr>
      </xdr:nvSpPr>
      <xdr:spPr bwMode="auto">
        <a:xfrm flipH="1">
          <a:off x="11572875" y="6953250"/>
          <a:ext cx="0" cy="457200"/>
        </a:xfrm>
        <a:prstGeom prst="line">
          <a:avLst/>
        </a:prstGeom>
        <a:noFill/>
        <a:ln w="28575">
          <a:solidFill>
            <a:srgbClr val="000080"/>
          </a:solidFill>
          <a:round/>
          <a:headEnd/>
          <a:tailEnd type="triangle" w="med" len="med"/>
        </a:ln>
      </xdr:spPr>
    </xdr:sp>
    <xdr:clientData/>
  </xdr:twoCellAnchor>
  <xdr:twoCellAnchor>
    <xdr:from>
      <xdr:col>29</xdr:col>
      <xdr:colOff>352425</xdr:colOff>
      <xdr:row>26</xdr:row>
      <xdr:rowOff>0</xdr:rowOff>
    </xdr:from>
    <xdr:to>
      <xdr:col>29</xdr:col>
      <xdr:colOff>352425</xdr:colOff>
      <xdr:row>27</xdr:row>
      <xdr:rowOff>9525</xdr:rowOff>
    </xdr:to>
    <xdr:sp macro="" textlink="">
      <xdr:nvSpPr>
        <xdr:cNvPr id="35061" name="Line 22">
          <a:extLst>
            <a:ext uri="{FF2B5EF4-FFF2-40B4-BE49-F238E27FC236}">
              <a16:creationId xmlns:a16="http://schemas.microsoft.com/office/drawing/2014/main" id="{00000000-0008-0000-0300-0000F5880000}"/>
            </a:ext>
          </a:extLst>
        </xdr:cNvPr>
        <xdr:cNvSpPr>
          <a:spLocks noChangeShapeType="1"/>
        </xdr:cNvSpPr>
      </xdr:nvSpPr>
      <xdr:spPr bwMode="auto">
        <a:xfrm>
          <a:off x="9734550" y="6524625"/>
          <a:ext cx="0" cy="190500"/>
        </a:xfrm>
        <a:prstGeom prst="line">
          <a:avLst/>
        </a:prstGeom>
        <a:noFill/>
        <a:ln w="28575">
          <a:solidFill>
            <a:srgbClr val="000080"/>
          </a:solidFill>
          <a:round/>
          <a:headEnd/>
          <a:tailEnd type="triangle" w="med" len="med"/>
        </a:ln>
      </xdr:spPr>
    </xdr:sp>
    <xdr:clientData/>
  </xdr:twoCellAnchor>
  <xdr:twoCellAnchor>
    <xdr:from>
      <xdr:col>37</xdr:col>
      <xdr:colOff>171450</xdr:colOff>
      <xdr:row>26</xdr:row>
      <xdr:rowOff>0</xdr:rowOff>
    </xdr:from>
    <xdr:to>
      <xdr:col>37</xdr:col>
      <xdr:colOff>171450</xdr:colOff>
      <xdr:row>27</xdr:row>
      <xdr:rowOff>0</xdr:rowOff>
    </xdr:to>
    <xdr:sp macro="" textlink="">
      <xdr:nvSpPr>
        <xdr:cNvPr id="35062" name="Line 23">
          <a:extLst>
            <a:ext uri="{FF2B5EF4-FFF2-40B4-BE49-F238E27FC236}">
              <a16:creationId xmlns:a16="http://schemas.microsoft.com/office/drawing/2014/main" id="{00000000-0008-0000-0300-0000F6880000}"/>
            </a:ext>
          </a:extLst>
        </xdr:cNvPr>
        <xdr:cNvSpPr>
          <a:spLocks noChangeShapeType="1"/>
        </xdr:cNvSpPr>
      </xdr:nvSpPr>
      <xdr:spPr bwMode="auto">
        <a:xfrm flipH="1" flipV="1">
          <a:off x="11572875" y="6524625"/>
          <a:ext cx="0" cy="180975"/>
        </a:xfrm>
        <a:prstGeom prst="line">
          <a:avLst/>
        </a:prstGeom>
        <a:noFill/>
        <a:ln w="28575">
          <a:solidFill>
            <a:srgbClr val="800000"/>
          </a:solidFill>
          <a:round/>
          <a:headEnd/>
          <a:tailEnd type="triangle" w="med" len="med"/>
        </a:ln>
      </xdr:spPr>
    </xdr:sp>
    <xdr:clientData/>
  </xdr:twoCellAnchor>
  <xdr:twoCellAnchor>
    <xdr:from>
      <xdr:col>41</xdr:col>
      <xdr:colOff>390525</xdr:colOff>
      <xdr:row>28</xdr:row>
      <xdr:rowOff>171450</xdr:rowOff>
    </xdr:from>
    <xdr:to>
      <xdr:col>41</xdr:col>
      <xdr:colOff>390525</xdr:colOff>
      <xdr:row>30</xdr:row>
      <xdr:rowOff>228600</xdr:rowOff>
    </xdr:to>
    <xdr:sp macro="" textlink="">
      <xdr:nvSpPr>
        <xdr:cNvPr id="35063" name="Line 18">
          <a:extLst>
            <a:ext uri="{FF2B5EF4-FFF2-40B4-BE49-F238E27FC236}">
              <a16:creationId xmlns:a16="http://schemas.microsoft.com/office/drawing/2014/main" id="{00000000-0008-0000-0300-0000F7880000}"/>
            </a:ext>
          </a:extLst>
        </xdr:cNvPr>
        <xdr:cNvSpPr>
          <a:spLocks noChangeShapeType="1"/>
        </xdr:cNvSpPr>
      </xdr:nvSpPr>
      <xdr:spPr bwMode="auto">
        <a:xfrm>
          <a:off x="12801600" y="7124700"/>
          <a:ext cx="0" cy="1076325"/>
        </a:xfrm>
        <a:prstGeom prst="line">
          <a:avLst/>
        </a:prstGeom>
        <a:noFill/>
        <a:ln w="28575">
          <a:solidFill>
            <a:srgbClr val="993300"/>
          </a:solidFill>
          <a:round/>
          <a:headEnd/>
          <a:tailEnd/>
        </a:ln>
      </xdr:spPr>
    </xdr:sp>
    <xdr:clientData/>
  </xdr:twoCellAnchor>
  <xdr:twoCellAnchor>
    <xdr:from>
      <xdr:col>41</xdr:col>
      <xdr:colOff>381000</xdr:colOff>
      <xdr:row>28</xdr:row>
      <xdr:rowOff>180975</xdr:rowOff>
    </xdr:from>
    <xdr:to>
      <xdr:col>44</xdr:col>
      <xdr:colOff>95250</xdr:colOff>
      <xdr:row>28</xdr:row>
      <xdr:rowOff>180975</xdr:rowOff>
    </xdr:to>
    <xdr:sp macro="" textlink="">
      <xdr:nvSpPr>
        <xdr:cNvPr id="35064" name="Line 20">
          <a:extLst>
            <a:ext uri="{FF2B5EF4-FFF2-40B4-BE49-F238E27FC236}">
              <a16:creationId xmlns:a16="http://schemas.microsoft.com/office/drawing/2014/main" id="{00000000-0008-0000-0300-0000F8880000}"/>
            </a:ext>
          </a:extLst>
        </xdr:cNvPr>
        <xdr:cNvSpPr>
          <a:spLocks noChangeShapeType="1"/>
        </xdr:cNvSpPr>
      </xdr:nvSpPr>
      <xdr:spPr bwMode="auto">
        <a:xfrm flipV="1">
          <a:off x="12792075" y="7134225"/>
          <a:ext cx="619125" cy="0"/>
        </a:xfrm>
        <a:prstGeom prst="line">
          <a:avLst/>
        </a:prstGeom>
        <a:noFill/>
        <a:ln w="28575">
          <a:solidFill>
            <a:srgbClr val="800000"/>
          </a:solidFill>
          <a:round/>
          <a:headEnd/>
          <a:tailEnd type="triangle" w="med" len="med"/>
        </a:ln>
      </xdr:spPr>
    </xdr:sp>
    <xdr:clientData/>
  </xdr:twoCellAnchor>
  <xdr:twoCellAnchor>
    <xdr:from>
      <xdr:col>41</xdr:col>
      <xdr:colOff>390525</xdr:colOff>
      <xdr:row>30</xdr:row>
      <xdr:rowOff>228600</xdr:rowOff>
    </xdr:from>
    <xdr:to>
      <xdr:col>45</xdr:col>
      <xdr:colOff>0</xdr:colOff>
      <xdr:row>30</xdr:row>
      <xdr:rowOff>228600</xdr:rowOff>
    </xdr:to>
    <xdr:sp macro="" textlink="">
      <xdr:nvSpPr>
        <xdr:cNvPr id="35065" name="Line 20">
          <a:extLst>
            <a:ext uri="{FF2B5EF4-FFF2-40B4-BE49-F238E27FC236}">
              <a16:creationId xmlns:a16="http://schemas.microsoft.com/office/drawing/2014/main" id="{00000000-0008-0000-0300-0000F9880000}"/>
            </a:ext>
          </a:extLst>
        </xdr:cNvPr>
        <xdr:cNvSpPr>
          <a:spLocks noChangeShapeType="1"/>
        </xdr:cNvSpPr>
      </xdr:nvSpPr>
      <xdr:spPr bwMode="auto">
        <a:xfrm flipV="1">
          <a:off x="12801600" y="8201025"/>
          <a:ext cx="619125" cy="0"/>
        </a:xfrm>
        <a:prstGeom prst="line">
          <a:avLst/>
        </a:prstGeom>
        <a:noFill/>
        <a:ln w="28575">
          <a:solidFill>
            <a:srgbClr val="800000"/>
          </a:solidFill>
          <a:round/>
          <a:headEnd/>
          <a:tailEnd type="triangle" w="med" len="med"/>
        </a:ln>
      </xdr:spPr>
    </xdr:sp>
    <xdr:clientData/>
  </xdr:twoCellAnchor>
  <xdr:twoCellAnchor>
    <xdr:from>
      <xdr:col>31</xdr:col>
      <xdr:colOff>9525</xdr:colOff>
      <xdr:row>29</xdr:row>
      <xdr:rowOff>238125</xdr:rowOff>
    </xdr:from>
    <xdr:to>
      <xdr:col>36</xdr:col>
      <xdr:colOff>19050</xdr:colOff>
      <xdr:row>29</xdr:row>
      <xdr:rowOff>238125</xdr:rowOff>
    </xdr:to>
    <xdr:sp macro="" textlink="">
      <xdr:nvSpPr>
        <xdr:cNvPr id="35066" name="Line 19">
          <a:extLst>
            <a:ext uri="{FF2B5EF4-FFF2-40B4-BE49-F238E27FC236}">
              <a16:creationId xmlns:a16="http://schemas.microsoft.com/office/drawing/2014/main" id="{00000000-0008-0000-0300-0000FA880000}"/>
            </a:ext>
          </a:extLst>
        </xdr:cNvPr>
        <xdr:cNvSpPr>
          <a:spLocks noChangeShapeType="1"/>
        </xdr:cNvSpPr>
      </xdr:nvSpPr>
      <xdr:spPr bwMode="auto">
        <a:xfrm>
          <a:off x="9896475" y="7648575"/>
          <a:ext cx="1419225" cy="0"/>
        </a:xfrm>
        <a:prstGeom prst="line">
          <a:avLst/>
        </a:prstGeom>
        <a:noFill/>
        <a:ln w="28575">
          <a:solidFill>
            <a:srgbClr val="00008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133350</xdr:rowOff>
    </xdr:from>
    <xdr:to>
      <xdr:col>4</xdr:col>
      <xdr:colOff>257175</xdr:colOff>
      <xdr:row>39</xdr:row>
      <xdr:rowOff>133350</xdr:rowOff>
    </xdr:to>
    <xdr:sp macro="" textlink="">
      <xdr:nvSpPr>
        <xdr:cNvPr id="36502" name="Line 21">
          <a:extLst>
            <a:ext uri="{FF2B5EF4-FFF2-40B4-BE49-F238E27FC236}">
              <a16:creationId xmlns:a16="http://schemas.microsoft.com/office/drawing/2014/main" id="{00000000-0008-0000-0400-0000968E0000}"/>
            </a:ext>
          </a:extLst>
        </xdr:cNvPr>
        <xdr:cNvSpPr>
          <a:spLocks noChangeShapeType="1"/>
        </xdr:cNvSpPr>
      </xdr:nvSpPr>
      <xdr:spPr bwMode="auto">
        <a:xfrm flipV="1">
          <a:off x="3133725" y="8048625"/>
          <a:ext cx="257175" cy="0"/>
        </a:xfrm>
        <a:prstGeom prst="line">
          <a:avLst/>
        </a:prstGeom>
        <a:noFill/>
        <a:ln w="28575">
          <a:solidFill>
            <a:srgbClr val="000080"/>
          </a:solidFill>
          <a:round/>
          <a:headEnd/>
          <a:tailEnd type="triangle" w="med" len="med"/>
        </a:ln>
      </xdr:spPr>
    </xdr:sp>
    <xdr:clientData/>
  </xdr:twoCellAnchor>
  <xdr:twoCellAnchor>
    <xdr:from>
      <xdr:col>4</xdr:col>
      <xdr:colOff>19050</xdr:colOff>
      <xdr:row>41</xdr:row>
      <xdr:rowOff>142875</xdr:rowOff>
    </xdr:from>
    <xdr:to>
      <xdr:col>4</xdr:col>
      <xdr:colOff>247650</xdr:colOff>
      <xdr:row>41</xdr:row>
      <xdr:rowOff>142875</xdr:rowOff>
    </xdr:to>
    <xdr:sp macro="" textlink="">
      <xdr:nvSpPr>
        <xdr:cNvPr id="36503" name="Line 21">
          <a:extLst>
            <a:ext uri="{FF2B5EF4-FFF2-40B4-BE49-F238E27FC236}">
              <a16:creationId xmlns:a16="http://schemas.microsoft.com/office/drawing/2014/main" id="{00000000-0008-0000-0400-0000978E0000}"/>
            </a:ext>
          </a:extLst>
        </xdr:cNvPr>
        <xdr:cNvSpPr>
          <a:spLocks noChangeShapeType="1"/>
        </xdr:cNvSpPr>
      </xdr:nvSpPr>
      <xdr:spPr bwMode="auto">
        <a:xfrm flipV="1">
          <a:off x="3152775" y="8601075"/>
          <a:ext cx="228600" cy="0"/>
        </a:xfrm>
        <a:prstGeom prst="line">
          <a:avLst/>
        </a:prstGeom>
        <a:noFill/>
        <a:ln w="28575">
          <a:solidFill>
            <a:srgbClr val="000080"/>
          </a:solidFill>
          <a:round/>
          <a:headEnd/>
          <a:tailEnd type="triangle" w="med" len="med"/>
        </a:ln>
      </xdr:spPr>
    </xdr:sp>
    <xdr:clientData/>
  </xdr:twoCellAnchor>
  <xdr:twoCellAnchor>
    <xdr:from>
      <xdr:col>4</xdr:col>
      <xdr:colOff>0</xdr:colOff>
      <xdr:row>43</xdr:row>
      <xdr:rowOff>161925</xdr:rowOff>
    </xdr:from>
    <xdr:to>
      <xdr:col>4</xdr:col>
      <xdr:colOff>238125</xdr:colOff>
      <xdr:row>43</xdr:row>
      <xdr:rowOff>161925</xdr:rowOff>
    </xdr:to>
    <xdr:sp macro="" textlink="">
      <xdr:nvSpPr>
        <xdr:cNvPr id="36504" name="Line 21">
          <a:extLst>
            <a:ext uri="{FF2B5EF4-FFF2-40B4-BE49-F238E27FC236}">
              <a16:creationId xmlns:a16="http://schemas.microsoft.com/office/drawing/2014/main" id="{00000000-0008-0000-0400-0000988E0000}"/>
            </a:ext>
          </a:extLst>
        </xdr:cNvPr>
        <xdr:cNvSpPr>
          <a:spLocks noChangeShapeType="1"/>
        </xdr:cNvSpPr>
      </xdr:nvSpPr>
      <xdr:spPr bwMode="auto">
        <a:xfrm flipV="1">
          <a:off x="3133725" y="9048750"/>
          <a:ext cx="238125" cy="0"/>
        </a:xfrm>
        <a:prstGeom prst="line">
          <a:avLst/>
        </a:prstGeom>
        <a:noFill/>
        <a:ln w="28575">
          <a:solidFill>
            <a:srgbClr val="000080"/>
          </a:solidFill>
          <a:round/>
          <a:headEnd/>
          <a:tailEnd type="triangle" w="med" len="med"/>
        </a:ln>
      </xdr:spPr>
    </xdr:sp>
    <xdr:clientData/>
  </xdr:twoCellAnchor>
  <xdr:twoCellAnchor>
    <xdr:from>
      <xdr:col>4</xdr:col>
      <xdr:colOff>9525</xdr:colOff>
      <xdr:row>45</xdr:row>
      <xdr:rowOff>152400</xdr:rowOff>
    </xdr:from>
    <xdr:to>
      <xdr:col>4</xdr:col>
      <xdr:colOff>257175</xdr:colOff>
      <xdr:row>45</xdr:row>
      <xdr:rowOff>152400</xdr:rowOff>
    </xdr:to>
    <xdr:sp macro="" textlink="">
      <xdr:nvSpPr>
        <xdr:cNvPr id="36505" name="Line 21">
          <a:extLst>
            <a:ext uri="{FF2B5EF4-FFF2-40B4-BE49-F238E27FC236}">
              <a16:creationId xmlns:a16="http://schemas.microsoft.com/office/drawing/2014/main" id="{00000000-0008-0000-0400-0000998E0000}"/>
            </a:ext>
          </a:extLst>
        </xdr:cNvPr>
        <xdr:cNvSpPr>
          <a:spLocks noChangeShapeType="1"/>
        </xdr:cNvSpPr>
      </xdr:nvSpPr>
      <xdr:spPr bwMode="auto">
        <a:xfrm flipV="1">
          <a:off x="3143250" y="9629775"/>
          <a:ext cx="247650" cy="0"/>
        </a:xfrm>
        <a:prstGeom prst="line">
          <a:avLst/>
        </a:prstGeom>
        <a:noFill/>
        <a:ln w="28575">
          <a:solidFill>
            <a:srgbClr val="000080"/>
          </a:solidFill>
          <a:round/>
          <a:headEnd/>
          <a:tailEnd type="triangle" w="med" len="med"/>
        </a:ln>
      </xdr:spPr>
    </xdr:sp>
    <xdr:clientData/>
  </xdr:twoCellAnchor>
  <xdr:twoCellAnchor>
    <xdr:from>
      <xdr:col>4</xdr:col>
      <xdr:colOff>9525</xdr:colOff>
      <xdr:row>47</xdr:row>
      <xdr:rowOff>152400</xdr:rowOff>
    </xdr:from>
    <xdr:to>
      <xdr:col>4</xdr:col>
      <xdr:colOff>247650</xdr:colOff>
      <xdr:row>47</xdr:row>
      <xdr:rowOff>152400</xdr:rowOff>
    </xdr:to>
    <xdr:sp macro="" textlink="">
      <xdr:nvSpPr>
        <xdr:cNvPr id="36506" name="Line 21">
          <a:extLst>
            <a:ext uri="{FF2B5EF4-FFF2-40B4-BE49-F238E27FC236}">
              <a16:creationId xmlns:a16="http://schemas.microsoft.com/office/drawing/2014/main" id="{00000000-0008-0000-0400-00009A8E0000}"/>
            </a:ext>
          </a:extLst>
        </xdr:cNvPr>
        <xdr:cNvSpPr>
          <a:spLocks noChangeShapeType="1"/>
        </xdr:cNvSpPr>
      </xdr:nvSpPr>
      <xdr:spPr bwMode="auto">
        <a:xfrm flipV="1">
          <a:off x="3143250" y="10077450"/>
          <a:ext cx="238125" cy="0"/>
        </a:xfrm>
        <a:prstGeom prst="line">
          <a:avLst/>
        </a:prstGeom>
        <a:noFill/>
        <a:ln w="28575">
          <a:solidFill>
            <a:srgbClr val="000080"/>
          </a:solidFill>
          <a:round/>
          <a:headEnd/>
          <a:tailEnd type="triangle" w="med" len="med"/>
        </a:ln>
      </xdr:spPr>
    </xdr:sp>
    <xdr:clientData/>
  </xdr:twoCellAnchor>
  <xdr:twoCellAnchor>
    <xdr:from>
      <xdr:col>4</xdr:col>
      <xdr:colOff>0</xdr:colOff>
      <xdr:row>49</xdr:row>
      <xdr:rowOff>171450</xdr:rowOff>
    </xdr:from>
    <xdr:to>
      <xdr:col>4</xdr:col>
      <xdr:colOff>266700</xdr:colOff>
      <xdr:row>49</xdr:row>
      <xdr:rowOff>171450</xdr:rowOff>
    </xdr:to>
    <xdr:sp macro="" textlink="">
      <xdr:nvSpPr>
        <xdr:cNvPr id="36507" name="Line 21">
          <a:extLst>
            <a:ext uri="{FF2B5EF4-FFF2-40B4-BE49-F238E27FC236}">
              <a16:creationId xmlns:a16="http://schemas.microsoft.com/office/drawing/2014/main" id="{00000000-0008-0000-0400-00009B8E0000}"/>
            </a:ext>
          </a:extLst>
        </xdr:cNvPr>
        <xdr:cNvSpPr>
          <a:spLocks noChangeShapeType="1"/>
        </xdr:cNvSpPr>
      </xdr:nvSpPr>
      <xdr:spPr bwMode="auto">
        <a:xfrm>
          <a:off x="3133725" y="10553700"/>
          <a:ext cx="266700" cy="0"/>
        </a:xfrm>
        <a:prstGeom prst="line">
          <a:avLst/>
        </a:prstGeom>
        <a:noFill/>
        <a:ln w="28575">
          <a:solidFill>
            <a:srgbClr val="000080"/>
          </a:solidFill>
          <a:round/>
          <a:headEnd/>
          <a:tailEnd type="triangle" w="med" len="med"/>
        </a:ln>
      </xdr:spPr>
    </xdr:sp>
    <xdr:clientData/>
  </xdr:twoCellAnchor>
  <xdr:twoCellAnchor>
    <xdr:from>
      <xdr:col>29</xdr:col>
      <xdr:colOff>76200</xdr:colOff>
      <xdr:row>37</xdr:row>
      <xdr:rowOff>180975</xdr:rowOff>
    </xdr:from>
    <xdr:to>
      <xdr:col>29</xdr:col>
      <xdr:colOff>104775</xdr:colOff>
      <xdr:row>46</xdr:row>
      <xdr:rowOff>276225</xdr:rowOff>
    </xdr:to>
    <xdr:sp macro="" textlink="">
      <xdr:nvSpPr>
        <xdr:cNvPr id="36508" name="Line 18">
          <a:extLst>
            <a:ext uri="{FF2B5EF4-FFF2-40B4-BE49-F238E27FC236}">
              <a16:creationId xmlns:a16="http://schemas.microsoft.com/office/drawing/2014/main" id="{00000000-0008-0000-0400-00009C8E0000}"/>
            </a:ext>
          </a:extLst>
        </xdr:cNvPr>
        <xdr:cNvSpPr>
          <a:spLocks noChangeShapeType="1"/>
        </xdr:cNvSpPr>
      </xdr:nvSpPr>
      <xdr:spPr bwMode="auto">
        <a:xfrm flipH="1">
          <a:off x="9239250" y="7600950"/>
          <a:ext cx="28575" cy="2324100"/>
        </a:xfrm>
        <a:prstGeom prst="line">
          <a:avLst/>
        </a:prstGeom>
        <a:noFill/>
        <a:ln w="28575">
          <a:solidFill>
            <a:srgbClr val="000080"/>
          </a:solidFill>
          <a:round/>
          <a:headEnd/>
          <a:tailEnd/>
        </a:ln>
      </xdr:spPr>
    </xdr:sp>
    <xdr:clientData/>
  </xdr:twoCellAnchor>
  <xdr:twoCellAnchor>
    <xdr:from>
      <xdr:col>28</xdr:col>
      <xdr:colOff>0</xdr:colOff>
      <xdr:row>40</xdr:row>
      <xdr:rowOff>142875</xdr:rowOff>
    </xdr:from>
    <xdr:to>
      <xdr:col>29</xdr:col>
      <xdr:colOff>104775</xdr:colOff>
      <xdr:row>40</xdr:row>
      <xdr:rowOff>142875</xdr:rowOff>
    </xdr:to>
    <xdr:sp macro="" textlink="">
      <xdr:nvSpPr>
        <xdr:cNvPr id="36509" name="Line 21">
          <a:extLst>
            <a:ext uri="{FF2B5EF4-FFF2-40B4-BE49-F238E27FC236}">
              <a16:creationId xmlns:a16="http://schemas.microsoft.com/office/drawing/2014/main" id="{00000000-0008-0000-0400-00009D8E0000}"/>
            </a:ext>
          </a:extLst>
        </xdr:cNvPr>
        <xdr:cNvSpPr>
          <a:spLocks noChangeShapeType="1"/>
        </xdr:cNvSpPr>
      </xdr:nvSpPr>
      <xdr:spPr bwMode="auto">
        <a:xfrm flipV="1">
          <a:off x="9058275" y="8362950"/>
          <a:ext cx="209550" cy="0"/>
        </a:xfrm>
        <a:prstGeom prst="line">
          <a:avLst/>
        </a:prstGeom>
        <a:noFill/>
        <a:ln w="28575">
          <a:solidFill>
            <a:srgbClr val="000080"/>
          </a:solidFill>
          <a:round/>
          <a:headEnd/>
          <a:tailEnd type="triangle" w="med" len="med"/>
        </a:ln>
      </xdr:spPr>
    </xdr:sp>
    <xdr:clientData/>
  </xdr:twoCellAnchor>
  <xdr:twoCellAnchor>
    <xdr:from>
      <xdr:col>28</xdr:col>
      <xdr:colOff>9525</xdr:colOff>
      <xdr:row>43</xdr:row>
      <xdr:rowOff>171450</xdr:rowOff>
    </xdr:from>
    <xdr:to>
      <xdr:col>29</xdr:col>
      <xdr:colOff>85725</xdr:colOff>
      <xdr:row>43</xdr:row>
      <xdr:rowOff>171450</xdr:rowOff>
    </xdr:to>
    <xdr:sp macro="" textlink="">
      <xdr:nvSpPr>
        <xdr:cNvPr id="36510" name="Line 21">
          <a:extLst>
            <a:ext uri="{FF2B5EF4-FFF2-40B4-BE49-F238E27FC236}">
              <a16:creationId xmlns:a16="http://schemas.microsoft.com/office/drawing/2014/main" id="{00000000-0008-0000-0400-00009E8E0000}"/>
            </a:ext>
          </a:extLst>
        </xdr:cNvPr>
        <xdr:cNvSpPr>
          <a:spLocks noChangeShapeType="1"/>
        </xdr:cNvSpPr>
      </xdr:nvSpPr>
      <xdr:spPr bwMode="auto">
        <a:xfrm flipV="1">
          <a:off x="9067800" y="9058275"/>
          <a:ext cx="180975" cy="0"/>
        </a:xfrm>
        <a:prstGeom prst="line">
          <a:avLst/>
        </a:prstGeom>
        <a:noFill/>
        <a:ln w="28575">
          <a:solidFill>
            <a:srgbClr val="000080"/>
          </a:solidFill>
          <a:round/>
          <a:headEnd/>
          <a:tailEnd type="triangle" w="med" len="med"/>
        </a:ln>
      </xdr:spPr>
    </xdr:sp>
    <xdr:clientData/>
  </xdr:twoCellAnchor>
  <xdr:twoCellAnchor>
    <xdr:from>
      <xdr:col>28</xdr:col>
      <xdr:colOff>9525</xdr:colOff>
      <xdr:row>46</xdr:row>
      <xdr:rowOff>266700</xdr:rowOff>
    </xdr:from>
    <xdr:to>
      <xdr:col>29</xdr:col>
      <xdr:colOff>104775</xdr:colOff>
      <xdr:row>46</xdr:row>
      <xdr:rowOff>266700</xdr:rowOff>
    </xdr:to>
    <xdr:sp macro="" textlink="">
      <xdr:nvSpPr>
        <xdr:cNvPr id="36511" name="Line 21">
          <a:extLst>
            <a:ext uri="{FF2B5EF4-FFF2-40B4-BE49-F238E27FC236}">
              <a16:creationId xmlns:a16="http://schemas.microsoft.com/office/drawing/2014/main" id="{00000000-0008-0000-0400-00009F8E0000}"/>
            </a:ext>
          </a:extLst>
        </xdr:cNvPr>
        <xdr:cNvSpPr>
          <a:spLocks noChangeShapeType="1"/>
        </xdr:cNvSpPr>
      </xdr:nvSpPr>
      <xdr:spPr bwMode="auto">
        <a:xfrm>
          <a:off x="9067800" y="9925050"/>
          <a:ext cx="200025" cy="0"/>
        </a:xfrm>
        <a:prstGeom prst="line">
          <a:avLst/>
        </a:prstGeom>
        <a:noFill/>
        <a:ln w="28575">
          <a:solidFill>
            <a:srgbClr val="000080"/>
          </a:solidFill>
          <a:round/>
          <a:headEnd/>
          <a:tailEnd type="triangle" w="med" len="med"/>
        </a:ln>
      </xdr:spPr>
    </xdr:sp>
    <xdr:clientData/>
  </xdr:twoCellAnchor>
  <xdr:twoCellAnchor>
    <xdr:from>
      <xdr:col>28</xdr:col>
      <xdr:colOff>0</xdr:colOff>
      <xdr:row>37</xdr:row>
      <xdr:rowOff>180975</xdr:rowOff>
    </xdr:from>
    <xdr:to>
      <xdr:col>29</xdr:col>
      <xdr:colOff>114300</xdr:colOff>
      <xdr:row>37</xdr:row>
      <xdr:rowOff>180975</xdr:rowOff>
    </xdr:to>
    <xdr:sp macro="" textlink="">
      <xdr:nvSpPr>
        <xdr:cNvPr id="36512" name="Line 21">
          <a:extLst>
            <a:ext uri="{FF2B5EF4-FFF2-40B4-BE49-F238E27FC236}">
              <a16:creationId xmlns:a16="http://schemas.microsoft.com/office/drawing/2014/main" id="{00000000-0008-0000-0400-0000A08E0000}"/>
            </a:ext>
          </a:extLst>
        </xdr:cNvPr>
        <xdr:cNvSpPr>
          <a:spLocks noChangeShapeType="1"/>
        </xdr:cNvSpPr>
      </xdr:nvSpPr>
      <xdr:spPr bwMode="auto">
        <a:xfrm>
          <a:off x="9058275" y="7600950"/>
          <a:ext cx="219075" cy="0"/>
        </a:xfrm>
        <a:prstGeom prst="line">
          <a:avLst/>
        </a:prstGeom>
        <a:noFill/>
        <a:ln w="28575">
          <a:solidFill>
            <a:srgbClr val="000080"/>
          </a:solidFill>
          <a:round/>
          <a:headEnd/>
          <a:tailEnd type="triangle" w="med" len="med"/>
        </a:ln>
      </xdr:spPr>
    </xdr:sp>
    <xdr:clientData/>
  </xdr:twoCellAnchor>
  <xdr:twoCellAnchor>
    <xdr:from>
      <xdr:col>29</xdr:col>
      <xdr:colOff>85725</xdr:colOff>
      <xdr:row>43</xdr:row>
      <xdr:rowOff>104775</xdr:rowOff>
    </xdr:from>
    <xdr:to>
      <xdr:col>29</xdr:col>
      <xdr:colOff>352425</xdr:colOff>
      <xdr:row>43</xdr:row>
      <xdr:rowOff>104775</xdr:rowOff>
    </xdr:to>
    <xdr:sp macro="" textlink="">
      <xdr:nvSpPr>
        <xdr:cNvPr id="36513" name="Line 21">
          <a:extLst>
            <a:ext uri="{FF2B5EF4-FFF2-40B4-BE49-F238E27FC236}">
              <a16:creationId xmlns:a16="http://schemas.microsoft.com/office/drawing/2014/main" id="{00000000-0008-0000-0400-0000A18E0000}"/>
            </a:ext>
          </a:extLst>
        </xdr:cNvPr>
        <xdr:cNvSpPr>
          <a:spLocks noChangeShapeType="1"/>
        </xdr:cNvSpPr>
      </xdr:nvSpPr>
      <xdr:spPr bwMode="auto">
        <a:xfrm flipV="1">
          <a:off x="9248775" y="8991600"/>
          <a:ext cx="266700" cy="0"/>
        </a:xfrm>
        <a:prstGeom prst="line">
          <a:avLst/>
        </a:prstGeom>
        <a:noFill/>
        <a:ln w="28575">
          <a:solidFill>
            <a:srgbClr val="000080"/>
          </a:solidFill>
          <a:round/>
          <a:headEnd/>
          <a:tailEnd type="triangle" w="med" len="med"/>
        </a:ln>
      </xdr:spPr>
    </xdr:sp>
    <xdr:clientData/>
  </xdr:twoCellAnchor>
  <xdr:twoCellAnchor>
    <xdr:from>
      <xdr:col>4</xdr:col>
      <xdr:colOff>247650</xdr:colOff>
      <xdr:row>38</xdr:row>
      <xdr:rowOff>9525</xdr:rowOff>
    </xdr:from>
    <xdr:to>
      <xdr:col>4</xdr:col>
      <xdr:colOff>276225</xdr:colOff>
      <xdr:row>49</xdr:row>
      <xdr:rowOff>180975</xdr:rowOff>
    </xdr:to>
    <xdr:sp macro="" textlink="">
      <xdr:nvSpPr>
        <xdr:cNvPr id="36514" name="Line 18">
          <a:extLst>
            <a:ext uri="{FF2B5EF4-FFF2-40B4-BE49-F238E27FC236}">
              <a16:creationId xmlns:a16="http://schemas.microsoft.com/office/drawing/2014/main" id="{00000000-0008-0000-0400-0000A28E0000}"/>
            </a:ext>
          </a:extLst>
        </xdr:cNvPr>
        <xdr:cNvSpPr>
          <a:spLocks noChangeShapeType="1"/>
        </xdr:cNvSpPr>
      </xdr:nvSpPr>
      <xdr:spPr bwMode="auto">
        <a:xfrm flipH="1">
          <a:off x="3381375" y="7677150"/>
          <a:ext cx="28575" cy="2886075"/>
        </a:xfrm>
        <a:prstGeom prst="line">
          <a:avLst/>
        </a:prstGeom>
        <a:noFill/>
        <a:ln w="28575">
          <a:solidFill>
            <a:srgbClr val="000080"/>
          </a:solidFill>
          <a:round/>
          <a:headEnd type="triangle" w="med" len="med"/>
          <a:tailEnd/>
        </a:ln>
      </xdr:spPr>
    </xdr:sp>
    <xdr:clientData/>
  </xdr:twoCellAnchor>
  <xdr:twoCellAnchor>
    <xdr:from>
      <xdr:col>34</xdr:col>
      <xdr:colOff>28575</xdr:colOff>
      <xdr:row>43</xdr:row>
      <xdr:rowOff>133350</xdr:rowOff>
    </xdr:from>
    <xdr:to>
      <xdr:col>36</xdr:col>
      <xdr:colOff>0</xdr:colOff>
      <xdr:row>43</xdr:row>
      <xdr:rowOff>133350</xdr:rowOff>
    </xdr:to>
    <xdr:sp macro="" textlink="">
      <xdr:nvSpPr>
        <xdr:cNvPr id="36515" name="Line 21">
          <a:extLst>
            <a:ext uri="{FF2B5EF4-FFF2-40B4-BE49-F238E27FC236}">
              <a16:creationId xmlns:a16="http://schemas.microsoft.com/office/drawing/2014/main" id="{00000000-0008-0000-0400-0000A38E0000}"/>
            </a:ext>
          </a:extLst>
        </xdr:cNvPr>
        <xdr:cNvSpPr>
          <a:spLocks noChangeShapeType="1"/>
        </xdr:cNvSpPr>
      </xdr:nvSpPr>
      <xdr:spPr bwMode="auto">
        <a:xfrm flipV="1">
          <a:off x="10458450" y="9020175"/>
          <a:ext cx="428625" cy="0"/>
        </a:xfrm>
        <a:prstGeom prst="line">
          <a:avLst/>
        </a:prstGeom>
        <a:noFill/>
        <a:ln w="28575">
          <a:solidFill>
            <a:srgbClr val="000080"/>
          </a:solidFill>
          <a:round/>
          <a:headEnd/>
          <a:tailEnd type="triangle" w="med" len="med"/>
        </a:ln>
      </xdr:spPr>
    </xdr:sp>
    <xdr:clientData/>
  </xdr:twoCellAnchor>
  <xdr:twoCellAnchor>
    <xdr:from>
      <xdr:col>39</xdr:col>
      <xdr:colOff>9525</xdr:colOff>
      <xdr:row>43</xdr:row>
      <xdr:rowOff>0</xdr:rowOff>
    </xdr:from>
    <xdr:to>
      <xdr:col>41</xdr:col>
      <xdr:colOff>104775</xdr:colOff>
      <xdr:row>43</xdr:row>
      <xdr:rowOff>0</xdr:rowOff>
    </xdr:to>
    <xdr:sp macro="" textlink="">
      <xdr:nvSpPr>
        <xdr:cNvPr id="36516" name="Line 21">
          <a:extLst>
            <a:ext uri="{FF2B5EF4-FFF2-40B4-BE49-F238E27FC236}">
              <a16:creationId xmlns:a16="http://schemas.microsoft.com/office/drawing/2014/main" id="{00000000-0008-0000-0400-0000A48E0000}"/>
            </a:ext>
          </a:extLst>
        </xdr:cNvPr>
        <xdr:cNvSpPr>
          <a:spLocks noChangeShapeType="1"/>
        </xdr:cNvSpPr>
      </xdr:nvSpPr>
      <xdr:spPr bwMode="auto">
        <a:xfrm flipV="1">
          <a:off x="11458575" y="8886825"/>
          <a:ext cx="552450" cy="0"/>
        </a:xfrm>
        <a:prstGeom prst="line">
          <a:avLst/>
        </a:prstGeom>
        <a:noFill/>
        <a:ln w="28575">
          <a:solidFill>
            <a:srgbClr val="000080"/>
          </a:solidFill>
          <a:round/>
          <a:headEnd/>
          <a:tailEnd type="triangle" w="med" len="med"/>
        </a:ln>
      </xdr:spPr>
    </xdr:sp>
    <xdr:clientData/>
  </xdr:twoCellAnchor>
  <xdr:twoCellAnchor>
    <xdr:from>
      <xdr:col>41</xdr:col>
      <xdr:colOff>76200</xdr:colOff>
      <xdr:row>38</xdr:row>
      <xdr:rowOff>142875</xdr:rowOff>
    </xdr:from>
    <xdr:to>
      <xdr:col>41</xdr:col>
      <xdr:colOff>85725</xdr:colOff>
      <xdr:row>47</xdr:row>
      <xdr:rowOff>200025</xdr:rowOff>
    </xdr:to>
    <xdr:sp macro="" textlink="">
      <xdr:nvSpPr>
        <xdr:cNvPr id="36517" name="Line 18">
          <a:extLst>
            <a:ext uri="{FF2B5EF4-FFF2-40B4-BE49-F238E27FC236}">
              <a16:creationId xmlns:a16="http://schemas.microsoft.com/office/drawing/2014/main" id="{00000000-0008-0000-0400-0000A58E0000}"/>
            </a:ext>
          </a:extLst>
        </xdr:cNvPr>
        <xdr:cNvSpPr>
          <a:spLocks noChangeShapeType="1"/>
        </xdr:cNvSpPr>
      </xdr:nvSpPr>
      <xdr:spPr bwMode="auto">
        <a:xfrm flipH="1">
          <a:off x="11982450" y="7810500"/>
          <a:ext cx="9525" cy="2314575"/>
        </a:xfrm>
        <a:prstGeom prst="line">
          <a:avLst/>
        </a:prstGeom>
        <a:noFill/>
        <a:ln w="28575">
          <a:solidFill>
            <a:srgbClr val="000080"/>
          </a:solidFill>
          <a:round/>
          <a:headEnd/>
          <a:tailEnd/>
        </a:ln>
      </xdr:spPr>
    </xdr:sp>
    <xdr:clientData/>
  </xdr:twoCellAnchor>
  <xdr:twoCellAnchor>
    <xdr:from>
      <xdr:col>41</xdr:col>
      <xdr:colOff>76200</xdr:colOff>
      <xdr:row>38</xdr:row>
      <xdr:rowOff>142875</xdr:rowOff>
    </xdr:from>
    <xdr:to>
      <xdr:col>42</xdr:col>
      <xdr:colOff>19050</xdr:colOff>
      <xdr:row>38</xdr:row>
      <xdr:rowOff>142875</xdr:rowOff>
    </xdr:to>
    <xdr:sp macro="" textlink="">
      <xdr:nvSpPr>
        <xdr:cNvPr id="36518" name="Line 21">
          <a:extLst>
            <a:ext uri="{FF2B5EF4-FFF2-40B4-BE49-F238E27FC236}">
              <a16:creationId xmlns:a16="http://schemas.microsoft.com/office/drawing/2014/main" id="{00000000-0008-0000-0400-0000A68E0000}"/>
            </a:ext>
          </a:extLst>
        </xdr:cNvPr>
        <xdr:cNvSpPr>
          <a:spLocks noChangeShapeType="1"/>
        </xdr:cNvSpPr>
      </xdr:nvSpPr>
      <xdr:spPr bwMode="auto">
        <a:xfrm>
          <a:off x="11982450" y="7810500"/>
          <a:ext cx="295275" cy="0"/>
        </a:xfrm>
        <a:prstGeom prst="line">
          <a:avLst/>
        </a:prstGeom>
        <a:noFill/>
        <a:ln w="28575">
          <a:solidFill>
            <a:srgbClr val="000080"/>
          </a:solidFill>
          <a:round/>
          <a:headEnd/>
          <a:tailEnd type="triangle" w="med" len="med"/>
        </a:ln>
      </xdr:spPr>
    </xdr:sp>
    <xdr:clientData/>
  </xdr:twoCellAnchor>
  <xdr:twoCellAnchor>
    <xdr:from>
      <xdr:col>41</xdr:col>
      <xdr:colOff>85725</xdr:colOff>
      <xdr:row>40</xdr:row>
      <xdr:rowOff>238125</xdr:rowOff>
    </xdr:from>
    <xdr:to>
      <xdr:col>42</xdr:col>
      <xdr:colOff>19050</xdr:colOff>
      <xdr:row>40</xdr:row>
      <xdr:rowOff>238125</xdr:rowOff>
    </xdr:to>
    <xdr:sp macro="" textlink="">
      <xdr:nvSpPr>
        <xdr:cNvPr id="36519" name="Line 21">
          <a:extLst>
            <a:ext uri="{FF2B5EF4-FFF2-40B4-BE49-F238E27FC236}">
              <a16:creationId xmlns:a16="http://schemas.microsoft.com/office/drawing/2014/main" id="{00000000-0008-0000-0400-0000A78E0000}"/>
            </a:ext>
          </a:extLst>
        </xdr:cNvPr>
        <xdr:cNvSpPr>
          <a:spLocks noChangeShapeType="1"/>
        </xdr:cNvSpPr>
      </xdr:nvSpPr>
      <xdr:spPr bwMode="auto">
        <a:xfrm>
          <a:off x="11991975" y="8458200"/>
          <a:ext cx="285750" cy="0"/>
        </a:xfrm>
        <a:prstGeom prst="line">
          <a:avLst/>
        </a:prstGeom>
        <a:noFill/>
        <a:ln w="28575">
          <a:solidFill>
            <a:srgbClr val="000080"/>
          </a:solidFill>
          <a:round/>
          <a:headEnd/>
          <a:tailEnd type="triangle" w="med" len="med"/>
        </a:ln>
      </xdr:spPr>
    </xdr:sp>
    <xdr:clientData/>
  </xdr:twoCellAnchor>
  <xdr:twoCellAnchor>
    <xdr:from>
      <xdr:col>41</xdr:col>
      <xdr:colOff>76200</xdr:colOff>
      <xdr:row>47</xdr:row>
      <xdr:rowOff>200025</xdr:rowOff>
    </xdr:from>
    <xdr:to>
      <xdr:col>42</xdr:col>
      <xdr:colOff>0</xdr:colOff>
      <xdr:row>47</xdr:row>
      <xdr:rowOff>200025</xdr:rowOff>
    </xdr:to>
    <xdr:sp macro="" textlink="">
      <xdr:nvSpPr>
        <xdr:cNvPr id="36520" name="Line 21">
          <a:extLst>
            <a:ext uri="{FF2B5EF4-FFF2-40B4-BE49-F238E27FC236}">
              <a16:creationId xmlns:a16="http://schemas.microsoft.com/office/drawing/2014/main" id="{00000000-0008-0000-0400-0000A88E0000}"/>
            </a:ext>
          </a:extLst>
        </xdr:cNvPr>
        <xdr:cNvSpPr>
          <a:spLocks noChangeShapeType="1"/>
        </xdr:cNvSpPr>
      </xdr:nvSpPr>
      <xdr:spPr bwMode="auto">
        <a:xfrm flipV="1">
          <a:off x="11982450" y="10125075"/>
          <a:ext cx="276225" cy="0"/>
        </a:xfrm>
        <a:prstGeom prst="line">
          <a:avLst/>
        </a:prstGeom>
        <a:noFill/>
        <a:ln w="28575">
          <a:solidFill>
            <a:srgbClr val="000080"/>
          </a:solidFill>
          <a:round/>
          <a:headEnd/>
          <a:tailEnd type="triangle" w="med" len="med"/>
        </a:ln>
      </xdr:spPr>
    </xdr:sp>
    <xdr:clientData/>
  </xdr:twoCellAnchor>
  <xdr:twoCellAnchor>
    <xdr:from>
      <xdr:col>41</xdr:col>
      <xdr:colOff>85725</xdr:colOff>
      <xdr:row>43</xdr:row>
      <xdr:rowOff>276225</xdr:rowOff>
    </xdr:from>
    <xdr:to>
      <xdr:col>42</xdr:col>
      <xdr:colOff>0</xdr:colOff>
      <xdr:row>43</xdr:row>
      <xdr:rowOff>276225</xdr:rowOff>
    </xdr:to>
    <xdr:sp macro="" textlink="">
      <xdr:nvSpPr>
        <xdr:cNvPr id="36521" name="Line 21">
          <a:extLst>
            <a:ext uri="{FF2B5EF4-FFF2-40B4-BE49-F238E27FC236}">
              <a16:creationId xmlns:a16="http://schemas.microsoft.com/office/drawing/2014/main" id="{00000000-0008-0000-0400-0000A98E0000}"/>
            </a:ext>
          </a:extLst>
        </xdr:cNvPr>
        <xdr:cNvSpPr>
          <a:spLocks noChangeShapeType="1"/>
        </xdr:cNvSpPr>
      </xdr:nvSpPr>
      <xdr:spPr bwMode="auto">
        <a:xfrm flipV="1">
          <a:off x="11991975" y="9163050"/>
          <a:ext cx="266700" cy="0"/>
        </a:xfrm>
        <a:prstGeom prst="line">
          <a:avLst/>
        </a:prstGeom>
        <a:noFill/>
        <a:ln w="28575">
          <a:solidFill>
            <a:srgbClr val="000080"/>
          </a:solidFill>
          <a:round/>
          <a:headEnd/>
          <a:tailEnd type="triangle" w="med" len="med"/>
        </a:ln>
      </xdr:spPr>
    </xdr:sp>
    <xdr:clientData/>
  </xdr:twoCellAnchor>
  <xdr:twoCellAnchor>
    <xdr:from>
      <xdr:col>41</xdr:col>
      <xdr:colOff>95250</xdr:colOff>
      <xdr:row>45</xdr:row>
      <xdr:rowOff>200025</xdr:rowOff>
    </xdr:from>
    <xdr:to>
      <xdr:col>42</xdr:col>
      <xdr:colOff>0</xdr:colOff>
      <xdr:row>45</xdr:row>
      <xdr:rowOff>200025</xdr:rowOff>
    </xdr:to>
    <xdr:sp macro="" textlink="">
      <xdr:nvSpPr>
        <xdr:cNvPr id="36522" name="Line 21">
          <a:extLst>
            <a:ext uri="{FF2B5EF4-FFF2-40B4-BE49-F238E27FC236}">
              <a16:creationId xmlns:a16="http://schemas.microsoft.com/office/drawing/2014/main" id="{00000000-0008-0000-0400-0000AA8E0000}"/>
            </a:ext>
          </a:extLst>
        </xdr:cNvPr>
        <xdr:cNvSpPr>
          <a:spLocks noChangeShapeType="1"/>
        </xdr:cNvSpPr>
      </xdr:nvSpPr>
      <xdr:spPr bwMode="auto">
        <a:xfrm flipV="1">
          <a:off x="12001500" y="9677400"/>
          <a:ext cx="257175" cy="0"/>
        </a:xfrm>
        <a:prstGeom prst="line">
          <a:avLst/>
        </a:prstGeom>
        <a:noFill/>
        <a:ln w="28575">
          <a:solidFill>
            <a:srgbClr val="000080"/>
          </a:solidFill>
          <a:round/>
          <a:headEnd/>
          <a:tailEnd type="triangle" w="med" len="med"/>
        </a:ln>
      </xdr:spPr>
    </xdr:sp>
    <xdr:clientData/>
  </xdr:twoCellAnchor>
  <xdr:twoCellAnchor>
    <xdr:from>
      <xdr:col>35</xdr:col>
      <xdr:colOff>123825</xdr:colOff>
      <xdr:row>43</xdr:row>
      <xdr:rowOff>142875</xdr:rowOff>
    </xdr:from>
    <xdr:to>
      <xdr:col>35</xdr:col>
      <xdr:colOff>123825</xdr:colOff>
      <xdr:row>46</xdr:row>
      <xdr:rowOff>171450</xdr:rowOff>
    </xdr:to>
    <xdr:sp macro="" textlink="">
      <xdr:nvSpPr>
        <xdr:cNvPr id="36523" name="Line 223">
          <a:extLst>
            <a:ext uri="{FF2B5EF4-FFF2-40B4-BE49-F238E27FC236}">
              <a16:creationId xmlns:a16="http://schemas.microsoft.com/office/drawing/2014/main" id="{00000000-0008-0000-0400-0000AB8E0000}"/>
            </a:ext>
          </a:extLst>
        </xdr:cNvPr>
        <xdr:cNvSpPr>
          <a:spLocks noChangeShapeType="1"/>
        </xdr:cNvSpPr>
      </xdr:nvSpPr>
      <xdr:spPr bwMode="auto">
        <a:xfrm>
          <a:off x="10658475" y="9029700"/>
          <a:ext cx="0" cy="895350"/>
        </a:xfrm>
        <a:prstGeom prst="line">
          <a:avLst/>
        </a:prstGeom>
        <a:noFill/>
        <a:ln w="28575">
          <a:solidFill>
            <a:srgbClr val="8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30</xdr:row>
      <xdr:rowOff>0</xdr:rowOff>
    </xdr:from>
    <xdr:to>
      <xdr:col>29</xdr:col>
      <xdr:colOff>0</xdr:colOff>
      <xdr:row>30</xdr:row>
      <xdr:rowOff>0</xdr:rowOff>
    </xdr:to>
    <xdr:sp macro="" textlink="">
      <xdr:nvSpPr>
        <xdr:cNvPr id="40987" name="Line 15">
          <a:extLst>
            <a:ext uri="{FF2B5EF4-FFF2-40B4-BE49-F238E27FC236}">
              <a16:creationId xmlns:a16="http://schemas.microsoft.com/office/drawing/2014/main" id="{00000000-0008-0000-0500-00001BA00000}"/>
            </a:ext>
          </a:extLst>
        </xdr:cNvPr>
        <xdr:cNvSpPr>
          <a:spLocks noChangeShapeType="1"/>
        </xdr:cNvSpPr>
      </xdr:nvSpPr>
      <xdr:spPr bwMode="auto">
        <a:xfrm>
          <a:off x="5353050" y="8658225"/>
          <a:ext cx="590550" cy="0"/>
        </a:xfrm>
        <a:prstGeom prst="line">
          <a:avLst/>
        </a:prstGeom>
        <a:noFill/>
        <a:ln w="28575">
          <a:solidFill>
            <a:srgbClr val="000080"/>
          </a:solidFill>
          <a:round/>
          <a:headEnd/>
          <a:tailEnd type="triangle" w="med" len="med"/>
        </a:ln>
      </xdr:spPr>
    </xdr:sp>
    <xdr:clientData/>
  </xdr:twoCellAnchor>
  <xdr:twoCellAnchor>
    <xdr:from>
      <xdr:col>27</xdr:col>
      <xdr:colOff>171450</xdr:colOff>
      <xdr:row>30</xdr:row>
      <xdr:rowOff>0</xdr:rowOff>
    </xdr:from>
    <xdr:to>
      <xdr:col>27</xdr:col>
      <xdr:colOff>171450</xdr:colOff>
      <xdr:row>34</xdr:row>
      <xdr:rowOff>19050</xdr:rowOff>
    </xdr:to>
    <xdr:sp macro="" textlink="">
      <xdr:nvSpPr>
        <xdr:cNvPr id="40988" name="Line 16">
          <a:extLst>
            <a:ext uri="{FF2B5EF4-FFF2-40B4-BE49-F238E27FC236}">
              <a16:creationId xmlns:a16="http://schemas.microsoft.com/office/drawing/2014/main" id="{00000000-0008-0000-0500-00001CA00000}"/>
            </a:ext>
          </a:extLst>
        </xdr:cNvPr>
        <xdr:cNvSpPr>
          <a:spLocks noChangeShapeType="1"/>
        </xdr:cNvSpPr>
      </xdr:nvSpPr>
      <xdr:spPr bwMode="auto">
        <a:xfrm>
          <a:off x="5629275" y="8658225"/>
          <a:ext cx="0" cy="923925"/>
        </a:xfrm>
        <a:prstGeom prst="line">
          <a:avLst/>
        </a:prstGeom>
        <a:noFill/>
        <a:ln w="28575">
          <a:solidFill>
            <a:srgbClr val="800000"/>
          </a:solidFill>
          <a:round/>
          <a:headEnd/>
          <a:tailEnd type="triangle" w="med" len="med"/>
        </a:ln>
      </xdr:spPr>
    </xdr:sp>
    <xdr:clientData/>
  </xdr:twoCellAnchor>
  <xdr:twoCellAnchor>
    <xdr:from>
      <xdr:col>32</xdr:col>
      <xdr:colOff>0</xdr:colOff>
      <xdr:row>29</xdr:row>
      <xdr:rowOff>371475</xdr:rowOff>
    </xdr:from>
    <xdr:to>
      <xdr:col>36</xdr:col>
      <xdr:colOff>0</xdr:colOff>
      <xdr:row>29</xdr:row>
      <xdr:rowOff>371475</xdr:rowOff>
    </xdr:to>
    <xdr:sp macro="" textlink="">
      <xdr:nvSpPr>
        <xdr:cNvPr id="40989" name="Line 17">
          <a:extLst>
            <a:ext uri="{FF2B5EF4-FFF2-40B4-BE49-F238E27FC236}">
              <a16:creationId xmlns:a16="http://schemas.microsoft.com/office/drawing/2014/main" id="{00000000-0008-0000-0500-00001DA00000}"/>
            </a:ext>
          </a:extLst>
        </xdr:cNvPr>
        <xdr:cNvSpPr>
          <a:spLocks noChangeShapeType="1"/>
        </xdr:cNvSpPr>
      </xdr:nvSpPr>
      <xdr:spPr bwMode="auto">
        <a:xfrm flipV="1">
          <a:off x="6810375" y="8620125"/>
          <a:ext cx="942975" cy="0"/>
        </a:xfrm>
        <a:prstGeom prst="line">
          <a:avLst/>
        </a:prstGeom>
        <a:noFill/>
        <a:ln w="28575">
          <a:solidFill>
            <a:srgbClr val="000080"/>
          </a:solidFill>
          <a:round/>
          <a:headEnd/>
          <a:tailEnd type="triangle" w="med" len="med"/>
        </a:ln>
      </xdr:spPr>
    </xdr:sp>
    <xdr:clientData/>
  </xdr:twoCellAnchor>
  <xdr:twoCellAnchor>
    <xdr:from>
      <xdr:col>36</xdr:col>
      <xdr:colOff>9525</xdr:colOff>
      <xdr:row>27</xdr:row>
      <xdr:rowOff>171450</xdr:rowOff>
    </xdr:from>
    <xdr:to>
      <xdr:col>36</xdr:col>
      <xdr:colOff>9525</xdr:colOff>
      <xdr:row>35</xdr:row>
      <xdr:rowOff>209550</xdr:rowOff>
    </xdr:to>
    <xdr:sp macro="" textlink="">
      <xdr:nvSpPr>
        <xdr:cNvPr id="40990" name="Line 18">
          <a:extLst>
            <a:ext uri="{FF2B5EF4-FFF2-40B4-BE49-F238E27FC236}">
              <a16:creationId xmlns:a16="http://schemas.microsoft.com/office/drawing/2014/main" id="{00000000-0008-0000-0500-00001EA00000}"/>
            </a:ext>
          </a:extLst>
        </xdr:cNvPr>
        <xdr:cNvSpPr>
          <a:spLocks noChangeShapeType="1"/>
        </xdr:cNvSpPr>
      </xdr:nvSpPr>
      <xdr:spPr bwMode="auto">
        <a:xfrm flipH="1">
          <a:off x="7762875" y="7972425"/>
          <a:ext cx="0" cy="1828800"/>
        </a:xfrm>
        <a:prstGeom prst="line">
          <a:avLst/>
        </a:prstGeom>
        <a:noFill/>
        <a:ln w="28575">
          <a:solidFill>
            <a:srgbClr val="000080"/>
          </a:solidFill>
          <a:round/>
          <a:headEnd/>
          <a:tailEnd/>
        </a:ln>
      </xdr:spPr>
    </xdr:sp>
    <xdr:clientData/>
  </xdr:twoCellAnchor>
  <xdr:twoCellAnchor>
    <xdr:from>
      <xdr:col>36</xdr:col>
      <xdr:colOff>9525</xdr:colOff>
      <xdr:row>27</xdr:row>
      <xdr:rowOff>161925</xdr:rowOff>
    </xdr:from>
    <xdr:to>
      <xdr:col>37</xdr:col>
      <xdr:colOff>400050</xdr:colOff>
      <xdr:row>27</xdr:row>
      <xdr:rowOff>161925</xdr:rowOff>
    </xdr:to>
    <xdr:sp macro="" textlink="">
      <xdr:nvSpPr>
        <xdr:cNvPr id="40991" name="Line 19">
          <a:extLst>
            <a:ext uri="{FF2B5EF4-FFF2-40B4-BE49-F238E27FC236}">
              <a16:creationId xmlns:a16="http://schemas.microsoft.com/office/drawing/2014/main" id="{00000000-0008-0000-0500-00001FA00000}"/>
            </a:ext>
          </a:extLst>
        </xdr:cNvPr>
        <xdr:cNvSpPr>
          <a:spLocks noChangeShapeType="1"/>
        </xdr:cNvSpPr>
      </xdr:nvSpPr>
      <xdr:spPr bwMode="auto">
        <a:xfrm>
          <a:off x="7762875" y="7962900"/>
          <a:ext cx="476250" cy="0"/>
        </a:xfrm>
        <a:prstGeom prst="line">
          <a:avLst/>
        </a:prstGeom>
        <a:noFill/>
        <a:ln w="28575">
          <a:solidFill>
            <a:srgbClr val="000080"/>
          </a:solidFill>
          <a:round/>
          <a:headEnd/>
          <a:tailEnd type="triangle" w="med" len="med"/>
        </a:ln>
      </xdr:spPr>
    </xdr:sp>
    <xdr:clientData/>
  </xdr:twoCellAnchor>
  <xdr:twoCellAnchor>
    <xdr:from>
      <xdr:col>36</xdr:col>
      <xdr:colOff>28575</xdr:colOff>
      <xdr:row>29</xdr:row>
      <xdr:rowOff>190500</xdr:rowOff>
    </xdr:from>
    <xdr:to>
      <xdr:col>38</xdr:col>
      <xdr:colOff>9525</xdr:colOff>
      <xdr:row>29</xdr:row>
      <xdr:rowOff>200025</xdr:rowOff>
    </xdr:to>
    <xdr:sp macro="" textlink="">
      <xdr:nvSpPr>
        <xdr:cNvPr id="40992" name="Line 20">
          <a:extLst>
            <a:ext uri="{FF2B5EF4-FFF2-40B4-BE49-F238E27FC236}">
              <a16:creationId xmlns:a16="http://schemas.microsoft.com/office/drawing/2014/main" id="{00000000-0008-0000-0500-000020A00000}"/>
            </a:ext>
          </a:extLst>
        </xdr:cNvPr>
        <xdr:cNvSpPr>
          <a:spLocks noChangeShapeType="1"/>
        </xdr:cNvSpPr>
      </xdr:nvSpPr>
      <xdr:spPr bwMode="auto">
        <a:xfrm>
          <a:off x="7781925" y="8439150"/>
          <a:ext cx="466725" cy="9525"/>
        </a:xfrm>
        <a:prstGeom prst="line">
          <a:avLst/>
        </a:prstGeom>
        <a:noFill/>
        <a:ln w="28575">
          <a:solidFill>
            <a:srgbClr val="000080"/>
          </a:solidFill>
          <a:round/>
          <a:headEnd/>
          <a:tailEnd type="triangle" w="med" len="med"/>
        </a:ln>
      </xdr:spPr>
    </xdr:sp>
    <xdr:clientData/>
  </xdr:twoCellAnchor>
  <xdr:twoCellAnchor>
    <xdr:from>
      <xdr:col>35</xdr:col>
      <xdr:colOff>400050</xdr:colOff>
      <xdr:row>31</xdr:row>
      <xdr:rowOff>200025</xdr:rowOff>
    </xdr:from>
    <xdr:to>
      <xdr:col>38</xdr:col>
      <xdr:colOff>9525</xdr:colOff>
      <xdr:row>31</xdr:row>
      <xdr:rowOff>200025</xdr:rowOff>
    </xdr:to>
    <xdr:sp macro="" textlink="">
      <xdr:nvSpPr>
        <xdr:cNvPr id="40993" name="Line 21">
          <a:extLst>
            <a:ext uri="{FF2B5EF4-FFF2-40B4-BE49-F238E27FC236}">
              <a16:creationId xmlns:a16="http://schemas.microsoft.com/office/drawing/2014/main" id="{00000000-0008-0000-0500-000021A00000}"/>
            </a:ext>
          </a:extLst>
        </xdr:cNvPr>
        <xdr:cNvSpPr>
          <a:spLocks noChangeShapeType="1"/>
        </xdr:cNvSpPr>
      </xdr:nvSpPr>
      <xdr:spPr bwMode="auto">
        <a:xfrm flipV="1">
          <a:off x="7753350" y="8886825"/>
          <a:ext cx="495300" cy="0"/>
        </a:xfrm>
        <a:prstGeom prst="line">
          <a:avLst/>
        </a:prstGeom>
        <a:noFill/>
        <a:ln w="28575">
          <a:solidFill>
            <a:srgbClr val="000080"/>
          </a:solidFill>
          <a:round/>
          <a:headEnd/>
          <a:tailEnd type="triangle" w="med" len="med"/>
        </a:ln>
      </xdr:spPr>
    </xdr:sp>
    <xdr:clientData/>
  </xdr:twoCellAnchor>
  <xdr:twoCellAnchor>
    <xdr:from>
      <xdr:col>36</xdr:col>
      <xdr:colOff>19050</xdr:colOff>
      <xdr:row>33</xdr:row>
      <xdr:rowOff>190500</xdr:rowOff>
    </xdr:from>
    <xdr:to>
      <xdr:col>38</xdr:col>
      <xdr:colOff>0</xdr:colOff>
      <xdr:row>33</xdr:row>
      <xdr:rowOff>200025</xdr:rowOff>
    </xdr:to>
    <xdr:sp macro="" textlink="">
      <xdr:nvSpPr>
        <xdr:cNvPr id="40994" name="Line 22">
          <a:extLst>
            <a:ext uri="{FF2B5EF4-FFF2-40B4-BE49-F238E27FC236}">
              <a16:creationId xmlns:a16="http://schemas.microsoft.com/office/drawing/2014/main" id="{00000000-0008-0000-0500-000022A00000}"/>
            </a:ext>
          </a:extLst>
        </xdr:cNvPr>
        <xdr:cNvSpPr>
          <a:spLocks noChangeShapeType="1"/>
        </xdr:cNvSpPr>
      </xdr:nvSpPr>
      <xdr:spPr bwMode="auto">
        <a:xfrm flipV="1">
          <a:off x="7772400" y="9324975"/>
          <a:ext cx="466725" cy="9525"/>
        </a:xfrm>
        <a:prstGeom prst="line">
          <a:avLst/>
        </a:prstGeom>
        <a:noFill/>
        <a:ln w="28575">
          <a:solidFill>
            <a:srgbClr val="000080"/>
          </a:solidFill>
          <a:round/>
          <a:headEnd/>
          <a:tailEnd type="triangle" w="med" len="med"/>
        </a:ln>
      </xdr:spPr>
    </xdr:sp>
    <xdr:clientData/>
  </xdr:twoCellAnchor>
  <xdr:twoCellAnchor>
    <xdr:from>
      <xdr:col>35</xdr:col>
      <xdr:colOff>400050</xdr:colOff>
      <xdr:row>35</xdr:row>
      <xdr:rowOff>209550</xdr:rowOff>
    </xdr:from>
    <xdr:to>
      <xdr:col>37</xdr:col>
      <xdr:colOff>400050</xdr:colOff>
      <xdr:row>35</xdr:row>
      <xdr:rowOff>219075</xdr:rowOff>
    </xdr:to>
    <xdr:sp macro="" textlink="">
      <xdr:nvSpPr>
        <xdr:cNvPr id="40995" name="Line 23">
          <a:extLst>
            <a:ext uri="{FF2B5EF4-FFF2-40B4-BE49-F238E27FC236}">
              <a16:creationId xmlns:a16="http://schemas.microsoft.com/office/drawing/2014/main" id="{00000000-0008-0000-0500-000023A00000}"/>
            </a:ext>
          </a:extLst>
        </xdr:cNvPr>
        <xdr:cNvSpPr>
          <a:spLocks noChangeShapeType="1"/>
        </xdr:cNvSpPr>
      </xdr:nvSpPr>
      <xdr:spPr bwMode="auto">
        <a:xfrm flipV="1">
          <a:off x="7753350" y="9801225"/>
          <a:ext cx="485775" cy="9525"/>
        </a:xfrm>
        <a:prstGeom prst="line">
          <a:avLst/>
        </a:prstGeom>
        <a:noFill/>
        <a:ln w="28575">
          <a:solidFill>
            <a:srgbClr val="00008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34</xdr:row>
      <xdr:rowOff>19050</xdr:rowOff>
    </xdr:from>
    <xdr:to>
      <xdr:col>25</xdr:col>
      <xdr:colOff>38100</xdr:colOff>
      <xdr:row>34</xdr:row>
      <xdr:rowOff>19050</xdr:rowOff>
    </xdr:to>
    <xdr:sp macro="" textlink="">
      <xdr:nvSpPr>
        <xdr:cNvPr id="38265" name="Line 18">
          <a:extLst>
            <a:ext uri="{FF2B5EF4-FFF2-40B4-BE49-F238E27FC236}">
              <a16:creationId xmlns:a16="http://schemas.microsoft.com/office/drawing/2014/main" id="{00000000-0008-0000-0600-000079950000}"/>
            </a:ext>
          </a:extLst>
        </xdr:cNvPr>
        <xdr:cNvSpPr>
          <a:spLocks noChangeShapeType="1"/>
        </xdr:cNvSpPr>
      </xdr:nvSpPr>
      <xdr:spPr bwMode="auto">
        <a:xfrm flipH="1" flipV="1">
          <a:off x="2847975" y="8448675"/>
          <a:ext cx="1209675" cy="0"/>
        </a:xfrm>
        <a:prstGeom prst="line">
          <a:avLst/>
        </a:prstGeom>
        <a:noFill/>
        <a:ln w="28575">
          <a:solidFill>
            <a:srgbClr val="000080"/>
          </a:solidFill>
          <a:round/>
          <a:headEnd type="triangle" w="med" len="med"/>
          <a:tailEnd/>
        </a:ln>
      </xdr:spPr>
    </xdr:sp>
    <xdr:clientData/>
  </xdr:twoCellAnchor>
  <xdr:twoCellAnchor>
    <xdr:from>
      <xdr:col>4</xdr:col>
      <xdr:colOff>0</xdr:colOff>
      <xdr:row>30</xdr:row>
      <xdr:rowOff>123825</xdr:rowOff>
    </xdr:from>
    <xdr:to>
      <xdr:col>4</xdr:col>
      <xdr:colOff>238125</xdr:colOff>
      <xdr:row>30</xdr:row>
      <xdr:rowOff>123825</xdr:rowOff>
    </xdr:to>
    <xdr:sp macro="" textlink="">
      <xdr:nvSpPr>
        <xdr:cNvPr id="38266" name="Line 18">
          <a:extLst>
            <a:ext uri="{FF2B5EF4-FFF2-40B4-BE49-F238E27FC236}">
              <a16:creationId xmlns:a16="http://schemas.microsoft.com/office/drawing/2014/main" id="{00000000-0008-0000-0600-00007A950000}"/>
            </a:ext>
          </a:extLst>
        </xdr:cNvPr>
        <xdr:cNvSpPr>
          <a:spLocks noChangeShapeType="1"/>
        </xdr:cNvSpPr>
      </xdr:nvSpPr>
      <xdr:spPr bwMode="auto">
        <a:xfrm flipH="1" flipV="1">
          <a:off x="2628900" y="7581900"/>
          <a:ext cx="238125" cy="0"/>
        </a:xfrm>
        <a:prstGeom prst="line">
          <a:avLst/>
        </a:prstGeom>
        <a:noFill/>
        <a:ln w="28575">
          <a:solidFill>
            <a:srgbClr val="000080"/>
          </a:solidFill>
          <a:round/>
          <a:headEnd type="triangle" w="med" len="med"/>
          <a:tailEnd/>
        </a:ln>
      </xdr:spPr>
    </xdr:sp>
    <xdr:clientData/>
  </xdr:twoCellAnchor>
  <xdr:twoCellAnchor>
    <xdr:from>
      <xdr:col>4</xdr:col>
      <xdr:colOff>0</xdr:colOff>
      <xdr:row>32</xdr:row>
      <xdr:rowOff>133350</xdr:rowOff>
    </xdr:from>
    <xdr:to>
      <xdr:col>4</xdr:col>
      <xdr:colOff>238125</xdr:colOff>
      <xdr:row>32</xdr:row>
      <xdr:rowOff>133350</xdr:rowOff>
    </xdr:to>
    <xdr:sp macro="" textlink="">
      <xdr:nvSpPr>
        <xdr:cNvPr id="38267" name="Line 18">
          <a:extLst>
            <a:ext uri="{FF2B5EF4-FFF2-40B4-BE49-F238E27FC236}">
              <a16:creationId xmlns:a16="http://schemas.microsoft.com/office/drawing/2014/main" id="{00000000-0008-0000-0600-00007B950000}"/>
            </a:ext>
          </a:extLst>
        </xdr:cNvPr>
        <xdr:cNvSpPr>
          <a:spLocks noChangeShapeType="1"/>
        </xdr:cNvSpPr>
      </xdr:nvSpPr>
      <xdr:spPr bwMode="auto">
        <a:xfrm flipH="1" flipV="1">
          <a:off x="2628900" y="8124825"/>
          <a:ext cx="238125" cy="0"/>
        </a:xfrm>
        <a:prstGeom prst="line">
          <a:avLst/>
        </a:prstGeom>
        <a:noFill/>
        <a:ln w="28575">
          <a:solidFill>
            <a:srgbClr val="000080"/>
          </a:solidFill>
          <a:round/>
          <a:headEnd type="triangle" w="med" len="med"/>
          <a:tailEnd/>
        </a:ln>
      </xdr:spPr>
    </xdr:sp>
    <xdr:clientData/>
  </xdr:twoCellAnchor>
  <xdr:twoCellAnchor>
    <xdr:from>
      <xdr:col>4</xdr:col>
      <xdr:colOff>0</xdr:colOff>
      <xdr:row>34</xdr:row>
      <xdr:rowOff>123825</xdr:rowOff>
    </xdr:from>
    <xdr:to>
      <xdr:col>4</xdr:col>
      <xdr:colOff>238125</xdr:colOff>
      <xdr:row>34</xdr:row>
      <xdr:rowOff>123825</xdr:rowOff>
    </xdr:to>
    <xdr:sp macro="" textlink="">
      <xdr:nvSpPr>
        <xdr:cNvPr id="38268" name="Line 18">
          <a:extLst>
            <a:ext uri="{FF2B5EF4-FFF2-40B4-BE49-F238E27FC236}">
              <a16:creationId xmlns:a16="http://schemas.microsoft.com/office/drawing/2014/main" id="{00000000-0008-0000-0600-00007C950000}"/>
            </a:ext>
          </a:extLst>
        </xdr:cNvPr>
        <xdr:cNvSpPr>
          <a:spLocks noChangeShapeType="1"/>
        </xdr:cNvSpPr>
      </xdr:nvSpPr>
      <xdr:spPr bwMode="auto">
        <a:xfrm flipH="1" flipV="1">
          <a:off x="2628900" y="8553450"/>
          <a:ext cx="238125" cy="0"/>
        </a:xfrm>
        <a:prstGeom prst="line">
          <a:avLst/>
        </a:prstGeom>
        <a:noFill/>
        <a:ln w="28575">
          <a:solidFill>
            <a:srgbClr val="000080"/>
          </a:solidFill>
          <a:round/>
          <a:headEnd type="triangle" w="med" len="med"/>
          <a:tailEnd/>
        </a:ln>
      </xdr:spPr>
    </xdr:sp>
    <xdr:clientData/>
  </xdr:twoCellAnchor>
  <xdr:twoCellAnchor>
    <xdr:from>
      <xdr:col>4</xdr:col>
      <xdr:colOff>0</xdr:colOff>
      <xdr:row>36</xdr:row>
      <xdr:rowOff>133350</xdr:rowOff>
    </xdr:from>
    <xdr:to>
      <xdr:col>4</xdr:col>
      <xdr:colOff>238125</xdr:colOff>
      <xdr:row>36</xdr:row>
      <xdr:rowOff>133350</xdr:rowOff>
    </xdr:to>
    <xdr:sp macro="" textlink="">
      <xdr:nvSpPr>
        <xdr:cNvPr id="38269" name="Line 18">
          <a:extLst>
            <a:ext uri="{FF2B5EF4-FFF2-40B4-BE49-F238E27FC236}">
              <a16:creationId xmlns:a16="http://schemas.microsoft.com/office/drawing/2014/main" id="{00000000-0008-0000-0600-00007D950000}"/>
            </a:ext>
          </a:extLst>
        </xdr:cNvPr>
        <xdr:cNvSpPr>
          <a:spLocks noChangeShapeType="1"/>
        </xdr:cNvSpPr>
      </xdr:nvSpPr>
      <xdr:spPr bwMode="auto">
        <a:xfrm flipH="1" flipV="1">
          <a:off x="2628900" y="8972550"/>
          <a:ext cx="238125" cy="0"/>
        </a:xfrm>
        <a:prstGeom prst="line">
          <a:avLst/>
        </a:prstGeom>
        <a:noFill/>
        <a:ln w="28575">
          <a:solidFill>
            <a:srgbClr val="000080"/>
          </a:solidFill>
          <a:round/>
          <a:headEnd type="triangle" w="med" len="med"/>
          <a:tailEnd/>
        </a:ln>
      </xdr:spPr>
    </xdr:sp>
    <xdr:clientData/>
  </xdr:twoCellAnchor>
  <xdr:twoCellAnchor>
    <xdr:from>
      <xdr:col>4</xdr:col>
      <xdr:colOff>9525</xdr:colOff>
      <xdr:row>38</xdr:row>
      <xdr:rowOff>114300</xdr:rowOff>
    </xdr:from>
    <xdr:to>
      <xdr:col>4</xdr:col>
      <xdr:colOff>247650</xdr:colOff>
      <xdr:row>38</xdr:row>
      <xdr:rowOff>114300</xdr:rowOff>
    </xdr:to>
    <xdr:sp macro="" textlink="">
      <xdr:nvSpPr>
        <xdr:cNvPr id="38270" name="Line 18">
          <a:extLst>
            <a:ext uri="{FF2B5EF4-FFF2-40B4-BE49-F238E27FC236}">
              <a16:creationId xmlns:a16="http://schemas.microsoft.com/office/drawing/2014/main" id="{00000000-0008-0000-0600-00007E950000}"/>
            </a:ext>
          </a:extLst>
        </xdr:cNvPr>
        <xdr:cNvSpPr>
          <a:spLocks noChangeShapeType="1"/>
        </xdr:cNvSpPr>
      </xdr:nvSpPr>
      <xdr:spPr bwMode="auto">
        <a:xfrm flipH="1" flipV="1">
          <a:off x="2638425" y="9315450"/>
          <a:ext cx="238125" cy="0"/>
        </a:xfrm>
        <a:prstGeom prst="line">
          <a:avLst/>
        </a:prstGeom>
        <a:noFill/>
        <a:ln w="28575">
          <a:solidFill>
            <a:srgbClr val="000080"/>
          </a:solidFill>
          <a:round/>
          <a:headEnd type="triangle" w="med" len="med"/>
          <a:tailEnd/>
        </a:ln>
      </xdr:spPr>
    </xdr:sp>
    <xdr:clientData/>
  </xdr:twoCellAnchor>
  <xdr:twoCellAnchor>
    <xdr:from>
      <xdr:col>4</xdr:col>
      <xdr:colOff>228600</xdr:colOff>
      <xdr:row>30</xdr:row>
      <xdr:rowOff>114300</xdr:rowOff>
    </xdr:from>
    <xdr:to>
      <xdr:col>4</xdr:col>
      <xdr:colOff>228600</xdr:colOff>
      <xdr:row>38</xdr:row>
      <xdr:rowOff>123825</xdr:rowOff>
    </xdr:to>
    <xdr:sp macro="" textlink="">
      <xdr:nvSpPr>
        <xdr:cNvPr id="38271" name="Line 18">
          <a:extLst>
            <a:ext uri="{FF2B5EF4-FFF2-40B4-BE49-F238E27FC236}">
              <a16:creationId xmlns:a16="http://schemas.microsoft.com/office/drawing/2014/main" id="{00000000-0008-0000-0600-00007F950000}"/>
            </a:ext>
          </a:extLst>
        </xdr:cNvPr>
        <xdr:cNvSpPr>
          <a:spLocks noChangeShapeType="1"/>
        </xdr:cNvSpPr>
      </xdr:nvSpPr>
      <xdr:spPr bwMode="auto">
        <a:xfrm flipH="1">
          <a:off x="2857500" y="7572375"/>
          <a:ext cx="0" cy="1752600"/>
        </a:xfrm>
        <a:prstGeom prst="line">
          <a:avLst/>
        </a:prstGeom>
        <a:noFill/>
        <a:ln w="28575">
          <a:solidFill>
            <a:srgbClr val="000080"/>
          </a:solidFill>
          <a:round/>
          <a:headEnd/>
          <a:tailEnd/>
        </a:ln>
      </xdr:spPr>
    </xdr:sp>
    <xdr:clientData/>
  </xdr:twoCellAnchor>
  <xdr:twoCellAnchor>
    <xdr:from>
      <xdr:col>37</xdr:col>
      <xdr:colOff>152400</xdr:colOff>
      <xdr:row>30</xdr:row>
      <xdr:rowOff>85725</xdr:rowOff>
    </xdr:from>
    <xdr:to>
      <xdr:col>37</xdr:col>
      <xdr:colOff>152400</xdr:colOff>
      <xdr:row>36</xdr:row>
      <xdr:rowOff>152400</xdr:rowOff>
    </xdr:to>
    <xdr:sp macro="" textlink="">
      <xdr:nvSpPr>
        <xdr:cNvPr id="38272" name="Line 18">
          <a:extLst>
            <a:ext uri="{FF2B5EF4-FFF2-40B4-BE49-F238E27FC236}">
              <a16:creationId xmlns:a16="http://schemas.microsoft.com/office/drawing/2014/main" id="{00000000-0008-0000-0600-000080950000}"/>
            </a:ext>
          </a:extLst>
        </xdr:cNvPr>
        <xdr:cNvSpPr>
          <a:spLocks noChangeShapeType="1"/>
        </xdr:cNvSpPr>
      </xdr:nvSpPr>
      <xdr:spPr bwMode="auto">
        <a:xfrm flipH="1">
          <a:off x="7200900" y="7543800"/>
          <a:ext cx="0" cy="1447800"/>
        </a:xfrm>
        <a:prstGeom prst="line">
          <a:avLst/>
        </a:prstGeom>
        <a:noFill/>
        <a:ln w="28575">
          <a:solidFill>
            <a:srgbClr val="000080"/>
          </a:solidFill>
          <a:round/>
          <a:headEnd/>
          <a:tailEnd/>
        </a:ln>
      </xdr:spPr>
    </xdr:sp>
    <xdr:clientData/>
  </xdr:twoCellAnchor>
  <xdr:twoCellAnchor>
    <xdr:from>
      <xdr:col>33</xdr:col>
      <xdr:colOff>0</xdr:colOff>
      <xdr:row>34</xdr:row>
      <xdr:rowOff>38100</xdr:rowOff>
    </xdr:from>
    <xdr:to>
      <xdr:col>37</xdr:col>
      <xdr:colOff>142875</xdr:colOff>
      <xdr:row>34</xdr:row>
      <xdr:rowOff>38100</xdr:rowOff>
    </xdr:to>
    <xdr:sp macro="" textlink="">
      <xdr:nvSpPr>
        <xdr:cNvPr id="38273" name="Line 18">
          <a:extLst>
            <a:ext uri="{FF2B5EF4-FFF2-40B4-BE49-F238E27FC236}">
              <a16:creationId xmlns:a16="http://schemas.microsoft.com/office/drawing/2014/main" id="{00000000-0008-0000-0600-000081950000}"/>
            </a:ext>
          </a:extLst>
        </xdr:cNvPr>
        <xdr:cNvSpPr>
          <a:spLocks noChangeShapeType="1"/>
        </xdr:cNvSpPr>
      </xdr:nvSpPr>
      <xdr:spPr bwMode="auto">
        <a:xfrm flipH="1" flipV="1">
          <a:off x="6038850" y="8467725"/>
          <a:ext cx="1152525" cy="0"/>
        </a:xfrm>
        <a:prstGeom prst="line">
          <a:avLst/>
        </a:prstGeom>
        <a:noFill/>
        <a:ln w="28575">
          <a:solidFill>
            <a:srgbClr val="000080"/>
          </a:solidFill>
          <a:round/>
          <a:headEnd type="triangle" w="med" len="med"/>
          <a:tailEnd/>
        </a:ln>
      </xdr:spPr>
    </xdr:sp>
    <xdr:clientData/>
  </xdr:twoCellAnchor>
  <xdr:twoCellAnchor>
    <xdr:from>
      <xdr:col>37</xdr:col>
      <xdr:colOff>152400</xdr:colOff>
      <xdr:row>30</xdr:row>
      <xdr:rowOff>95250</xdr:rowOff>
    </xdr:from>
    <xdr:to>
      <xdr:col>37</xdr:col>
      <xdr:colOff>390525</xdr:colOff>
      <xdr:row>30</xdr:row>
      <xdr:rowOff>95250</xdr:rowOff>
    </xdr:to>
    <xdr:sp macro="" textlink="">
      <xdr:nvSpPr>
        <xdr:cNvPr id="38274" name="Line 18">
          <a:extLst>
            <a:ext uri="{FF2B5EF4-FFF2-40B4-BE49-F238E27FC236}">
              <a16:creationId xmlns:a16="http://schemas.microsoft.com/office/drawing/2014/main" id="{00000000-0008-0000-0600-000082950000}"/>
            </a:ext>
          </a:extLst>
        </xdr:cNvPr>
        <xdr:cNvSpPr>
          <a:spLocks noChangeShapeType="1"/>
        </xdr:cNvSpPr>
      </xdr:nvSpPr>
      <xdr:spPr bwMode="auto">
        <a:xfrm flipH="1" flipV="1">
          <a:off x="7200900" y="7553325"/>
          <a:ext cx="238125" cy="0"/>
        </a:xfrm>
        <a:prstGeom prst="line">
          <a:avLst/>
        </a:prstGeom>
        <a:noFill/>
        <a:ln w="28575">
          <a:solidFill>
            <a:srgbClr val="000080"/>
          </a:solidFill>
          <a:round/>
          <a:headEnd type="triangle" w="med" len="med"/>
          <a:tailEnd/>
        </a:ln>
      </xdr:spPr>
    </xdr:sp>
    <xdr:clientData/>
  </xdr:twoCellAnchor>
  <xdr:twoCellAnchor>
    <xdr:from>
      <xdr:col>37</xdr:col>
      <xdr:colOff>161925</xdr:colOff>
      <xdr:row>32</xdr:row>
      <xdr:rowOff>123825</xdr:rowOff>
    </xdr:from>
    <xdr:to>
      <xdr:col>38</xdr:col>
      <xdr:colOff>0</xdr:colOff>
      <xdr:row>32</xdr:row>
      <xdr:rowOff>123825</xdr:rowOff>
    </xdr:to>
    <xdr:sp macro="" textlink="">
      <xdr:nvSpPr>
        <xdr:cNvPr id="38275" name="Line 18">
          <a:extLst>
            <a:ext uri="{FF2B5EF4-FFF2-40B4-BE49-F238E27FC236}">
              <a16:creationId xmlns:a16="http://schemas.microsoft.com/office/drawing/2014/main" id="{00000000-0008-0000-0600-000083950000}"/>
            </a:ext>
          </a:extLst>
        </xdr:cNvPr>
        <xdr:cNvSpPr>
          <a:spLocks noChangeShapeType="1"/>
        </xdr:cNvSpPr>
      </xdr:nvSpPr>
      <xdr:spPr bwMode="auto">
        <a:xfrm flipH="1" flipV="1">
          <a:off x="7210425" y="8115300"/>
          <a:ext cx="238125" cy="0"/>
        </a:xfrm>
        <a:prstGeom prst="line">
          <a:avLst/>
        </a:prstGeom>
        <a:noFill/>
        <a:ln w="28575">
          <a:solidFill>
            <a:srgbClr val="000080"/>
          </a:solidFill>
          <a:round/>
          <a:headEnd type="triangle" w="med" len="med"/>
          <a:tailEnd/>
        </a:ln>
      </xdr:spPr>
    </xdr:sp>
    <xdr:clientData/>
  </xdr:twoCellAnchor>
  <xdr:twoCellAnchor>
    <xdr:from>
      <xdr:col>37</xdr:col>
      <xdr:colOff>161925</xdr:colOff>
      <xdr:row>34</xdr:row>
      <xdr:rowOff>152400</xdr:rowOff>
    </xdr:from>
    <xdr:to>
      <xdr:col>38</xdr:col>
      <xdr:colOff>0</xdr:colOff>
      <xdr:row>34</xdr:row>
      <xdr:rowOff>152400</xdr:rowOff>
    </xdr:to>
    <xdr:sp macro="" textlink="">
      <xdr:nvSpPr>
        <xdr:cNvPr id="38276" name="Line 18">
          <a:extLst>
            <a:ext uri="{FF2B5EF4-FFF2-40B4-BE49-F238E27FC236}">
              <a16:creationId xmlns:a16="http://schemas.microsoft.com/office/drawing/2014/main" id="{00000000-0008-0000-0600-000084950000}"/>
            </a:ext>
          </a:extLst>
        </xdr:cNvPr>
        <xdr:cNvSpPr>
          <a:spLocks noChangeShapeType="1"/>
        </xdr:cNvSpPr>
      </xdr:nvSpPr>
      <xdr:spPr bwMode="auto">
        <a:xfrm flipH="1" flipV="1">
          <a:off x="7210425" y="8582025"/>
          <a:ext cx="238125" cy="0"/>
        </a:xfrm>
        <a:prstGeom prst="line">
          <a:avLst/>
        </a:prstGeom>
        <a:noFill/>
        <a:ln w="28575">
          <a:solidFill>
            <a:srgbClr val="000080"/>
          </a:solidFill>
          <a:round/>
          <a:headEnd type="triangle" w="med" len="med"/>
          <a:tailEnd/>
        </a:ln>
      </xdr:spPr>
    </xdr:sp>
    <xdr:clientData/>
  </xdr:twoCellAnchor>
  <xdr:twoCellAnchor>
    <xdr:from>
      <xdr:col>37</xdr:col>
      <xdr:colOff>161925</xdr:colOff>
      <xdr:row>36</xdr:row>
      <xdr:rowOff>142875</xdr:rowOff>
    </xdr:from>
    <xdr:to>
      <xdr:col>38</xdr:col>
      <xdr:colOff>0</xdr:colOff>
      <xdr:row>36</xdr:row>
      <xdr:rowOff>142875</xdr:rowOff>
    </xdr:to>
    <xdr:sp macro="" textlink="">
      <xdr:nvSpPr>
        <xdr:cNvPr id="38277" name="Line 18">
          <a:extLst>
            <a:ext uri="{FF2B5EF4-FFF2-40B4-BE49-F238E27FC236}">
              <a16:creationId xmlns:a16="http://schemas.microsoft.com/office/drawing/2014/main" id="{00000000-0008-0000-0600-000085950000}"/>
            </a:ext>
          </a:extLst>
        </xdr:cNvPr>
        <xdr:cNvSpPr>
          <a:spLocks noChangeShapeType="1"/>
        </xdr:cNvSpPr>
      </xdr:nvSpPr>
      <xdr:spPr bwMode="auto">
        <a:xfrm flipH="1" flipV="1">
          <a:off x="7210425" y="8982075"/>
          <a:ext cx="238125" cy="0"/>
        </a:xfrm>
        <a:prstGeom prst="line">
          <a:avLst/>
        </a:prstGeom>
        <a:noFill/>
        <a:ln w="28575">
          <a:solidFill>
            <a:srgbClr val="000080"/>
          </a:solidFill>
          <a:round/>
          <a:headEnd type="triangle" w="med" len="me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SD/environment/Questionnaires/Q2016/Pre-filling/Morocco_Water2p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Recommandations"/>
      <sheetName val="Définitions"/>
      <sheetName val="Diagram"/>
      <sheetName val="W1"/>
      <sheetName val="W2"/>
      <sheetName val="W3"/>
      <sheetName val="W4"/>
      <sheetName val="W5"/>
      <sheetName val="W6"/>
    </sheetNames>
    <sheetDataSet>
      <sheetData sheetId="0"/>
      <sheetData sheetId="1"/>
      <sheetData sheetId="2"/>
      <sheetData sheetId="3"/>
      <sheetData sheetId="4">
        <row r="8">
          <cell r="D8" t="str">
            <v>Précipitations</v>
          </cell>
        </row>
        <row r="9">
          <cell r="D9" t="str">
            <v>Évapotranspiration réelle</v>
          </cell>
        </row>
        <row r="10">
          <cell r="D10" t="str">
            <v>Flux interne  (=1-2)</v>
          </cell>
        </row>
        <row r="11">
          <cell r="D11" t="str">
            <v>Apport externe d’eaux de surface et d’eaux souterraines des pays voisins</v>
          </cell>
        </row>
        <row r="12">
          <cell r="D12" t="str">
            <v>Ressources renouvelables en eau douce (=3+4)</v>
          </cell>
        </row>
        <row r="13">
          <cell r="D13" t="str">
            <v>Flux sortant d’eaux de surface et d’eaux souterraines vers les pays voisins</v>
          </cell>
        </row>
        <row r="16">
          <cell r="D16" t="str">
            <v>Flux sortant d’eaux de surface et d’eaux souterraines vers la mer</v>
          </cell>
        </row>
      </sheetData>
      <sheetData sheetId="5">
        <row r="10">
          <cell r="D10" t="str">
            <v>Volume d’eau douce prélevé (=1+2)</v>
          </cell>
        </row>
        <row r="11">
          <cell r="D11" t="str">
            <v>Dont prélevés par :</v>
          </cell>
        </row>
        <row r="12">
          <cell r="D12" t="str">
            <v>Services d’alimentation en eau (division 36 de la CITI)</v>
          </cell>
        </row>
        <row r="13">
          <cell r="D13" t="str">
            <v>Ménages</v>
          </cell>
        </row>
        <row r="14">
          <cell r="D14" t="str">
            <v>Agriculture, sylviculture et pêche (divisions 1 à 3 de la CITI)</v>
          </cell>
        </row>
        <row r="15">
          <cell r="D15" t="str">
            <v>Activités de fabrication (division 10 à 33 de la CITI)</v>
          </cell>
        </row>
        <row r="16">
          <cell r="D16" t="str">
            <v>Industrie électrique (division 351 de la CITI)</v>
          </cell>
        </row>
        <row r="17">
          <cell r="D17" t="str">
            <v>Autres activités économiques</v>
          </cell>
        </row>
        <row r="18">
          <cell r="D18" t="str">
            <v>Eau dessalée</v>
          </cell>
        </row>
        <row r="19">
          <cell r="D19" t="str">
            <v>Eau réutilisée</v>
          </cell>
        </row>
        <row r="20">
          <cell r="D20" t="str">
            <v>Importations d’eau</v>
          </cell>
        </row>
        <row r="21">
          <cell r="D21" t="str">
            <v>Exportations d’eau</v>
          </cell>
        </row>
        <row r="22">
          <cell r="D22" t="str">
            <v>Quantité totale d’eau douce disponible et utilisable (=3+10+11+12-13)</v>
          </cell>
        </row>
        <row r="23">
          <cell r="D23" t="str">
            <v>Pertes au cours du transport</v>
          </cell>
        </row>
        <row r="24">
          <cell r="D24" t="str">
            <v>Quantité totale d’eau douce utilisée (=14-15)</v>
          </cell>
        </row>
        <row r="25">
          <cell r="D25" t="str">
            <v>Dont utilisés par :</v>
          </cell>
        </row>
        <row r="26">
          <cell r="D26" t="str">
            <v>Ménages</v>
          </cell>
        </row>
        <row r="27">
          <cell r="D27" t="str">
            <v>Agriculture, sylviculture et pêche (division 1 à 3 de la CITI)</v>
          </cell>
        </row>
        <row r="29">
          <cell r="D29" t="str">
            <v xml:space="preserve">   Activités de fabrication  (divisions 10 à 33 de la CITI)</v>
          </cell>
        </row>
        <row r="30">
          <cell r="D30" t="str">
            <v xml:space="preserve">    Industrie électrique (division 351 de la CITI)</v>
          </cell>
        </row>
        <row r="31">
          <cell r="D31" t="str">
            <v xml:space="preserve">    Autres activités économiques </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6:L41"/>
  <sheetViews>
    <sheetView showGridLines="0" showRowColHeaders="0" tabSelected="1" zoomScaleNormal="100" workbookViewId="0"/>
  </sheetViews>
  <sheetFormatPr defaultRowHeight="12.75" x14ac:dyDescent="0.2"/>
  <cols>
    <col min="1" max="1" width="2" customWidth="1"/>
    <col min="2" max="2" width="23.6640625" customWidth="1"/>
    <col min="3" max="3" width="32.5" customWidth="1"/>
    <col min="4" max="10" width="9.33203125" customWidth="1"/>
    <col min="11" max="11" width="21.5" customWidth="1"/>
    <col min="12" max="12" width="9.33203125" style="870" customWidth="1"/>
    <col min="257" max="257" width="2" customWidth="1"/>
    <col min="258" max="258" width="23.6640625" customWidth="1"/>
    <col min="259" max="259" width="32.5" customWidth="1"/>
    <col min="267" max="267" width="21.5" customWidth="1"/>
    <col min="513" max="513" width="2" customWidth="1"/>
    <col min="514" max="514" width="23.6640625" customWidth="1"/>
    <col min="515" max="515" width="32.5" customWidth="1"/>
    <col min="523" max="523" width="21.5" customWidth="1"/>
    <col min="769" max="769" width="2" customWidth="1"/>
    <col min="770" max="770" width="23.6640625" customWidth="1"/>
    <col min="771" max="771" width="32.5" customWidth="1"/>
    <col min="779" max="779" width="21.5" customWidth="1"/>
    <col min="1025" max="1025" width="2" customWidth="1"/>
    <col min="1026" max="1026" width="23.6640625" customWidth="1"/>
    <col min="1027" max="1027" width="32.5" customWidth="1"/>
    <col min="1035" max="1035" width="21.5" customWidth="1"/>
    <col min="1281" max="1281" width="2" customWidth="1"/>
    <col min="1282" max="1282" width="23.6640625" customWidth="1"/>
    <col min="1283" max="1283" width="32.5" customWidth="1"/>
    <col min="1291" max="1291" width="21.5" customWidth="1"/>
    <col min="1537" max="1537" width="2" customWidth="1"/>
    <col min="1538" max="1538" width="23.6640625" customWidth="1"/>
    <col min="1539" max="1539" width="32.5" customWidth="1"/>
    <col min="1547" max="1547" width="21.5" customWidth="1"/>
    <col min="1793" max="1793" width="2" customWidth="1"/>
    <col min="1794" max="1794" width="23.6640625" customWidth="1"/>
    <col min="1795" max="1795" width="32.5" customWidth="1"/>
    <col min="1803" max="1803" width="21.5" customWidth="1"/>
    <col min="2049" max="2049" width="2" customWidth="1"/>
    <col min="2050" max="2050" width="23.6640625" customWidth="1"/>
    <col min="2051" max="2051" width="32.5" customWidth="1"/>
    <col min="2059" max="2059" width="21.5" customWidth="1"/>
    <col min="2305" max="2305" width="2" customWidth="1"/>
    <col min="2306" max="2306" width="23.6640625" customWidth="1"/>
    <col min="2307" max="2307" width="32.5" customWidth="1"/>
    <col min="2315" max="2315" width="21.5" customWidth="1"/>
    <col min="2561" max="2561" width="2" customWidth="1"/>
    <col min="2562" max="2562" width="23.6640625" customWidth="1"/>
    <col min="2563" max="2563" width="32.5" customWidth="1"/>
    <col min="2571" max="2571" width="21.5" customWidth="1"/>
    <col min="2817" max="2817" width="2" customWidth="1"/>
    <col min="2818" max="2818" width="23.6640625" customWidth="1"/>
    <col min="2819" max="2819" width="32.5" customWidth="1"/>
    <col min="2827" max="2827" width="21.5" customWidth="1"/>
    <col min="3073" max="3073" width="2" customWidth="1"/>
    <col min="3074" max="3074" width="23.6640625" customWidth="1"/>
    <col min="3075" max="3075" width="32.5" customWidth="1"/>
    <col min="3083" max="3083" width="21.5" customWidth="1"/>
    <col min="3329" max="3329" width="2" customWidth="1"/>
    <col min="3330" max="3330" width="23.6640625" customWidth="1"/>
    <col min="3331" max="3331" width="32.5" customWidth="1"/>
    <col min="3339" max="3339" width="21.5" customWidth="1"/>
    <col min="3585" max="3585" width="2" customWidth="1"/>
    <col min="3586" max="3586" width="23.6640625" customWidth="1"/>
    <col min="3587" max="3587" width="32.5" customWidth="1"/>
    <col min="3595" max="3595" width="21.5" customWidth="1"/>
    <col min="3841" max="3841" width="2" customWidth="1"/>
    <col min="3842" max="3842" width="23.6640625" customWidth="1"/>
    <col min="3843" max="3843" width="32.5" customWidth="1"/>
    <col min="3851" max="3851" width="21.5" customWidth="1"/>
    <col min="4097" max="4097" width="2" customWidth="1"/>
    <col min="4098" max="4098" width="23.6640625" customWidth="1"/>
    <col min="4099" max="4099" width="32.5" customWidth="1"/>
    <col min="4107" max="4107" width="21.5" customWidth="1"/>
    <col min="4353" max="4353" width="2" customWidth="1"/>
    <col min="4354" max="4354" width="23.6640625" customWidth="1"/>
    <col min="4355" max="4355" width="32.5" customWidth="1"/>
    <col min="4363" max="4363" width="21.5" customWidth="1"/>
    <col min="4609" max="4609" width="2" customWidth="1"/>
    <col min="4610" max="4610" width="23.6640625" customWidth="1"/>
    <col min="4611" max="4611" width="32.5" customWidth="1"/>
    <col min="4619" max="4619" width="21.5" customWidth="1"/>
    <col min="4865" max="4865" width="2" customWidth="1"/>
    <col min="4866" max="4866" width="23.6640625" customWidth="1"/>
    <col min="4867" max="4867" width="32.5" customWidth="1"/>
    <col min="4875" max="4875" width="21.5" customWidth="1"/>
    <col min="5121" max="5121" width="2" customWidth="1"/>
    <col min="5122" max="5122" width="23.6640625" customWidth="1"/>
    <col min="5123" max="5123" width="32.5" customWidth="1"/>
    <col min="5131" max="5131" width="21.5" customWidth="1"/>
    <col min="5377" max="5377" width="2" customWidth="1"/>
    <col min="5378" max="5378" width="23.6640625" customWidth="1"/>
    <col min="5379" max="5379" width="32.5" customWidth="1"/>
    <col min="5387" max="5387" width="21.5" customWidth="1"/>
    <col min="5633" max="5633" width="2" customWidth="1"/>
    <col min="5634" max="5634" width="23.6640625" customWidth="1"/>
    <col min="5635" max="5635" width="32.5" customWidth="1"/>
    <col min="5643" max="5643" width="21.5" customWidth="1"/>
    <col min="5889" max="5889" width="2" customWidth="1"/>
    <col min="5890" max="5890" width="23.6640625" customWidth="1"/>
    <col min="5891" max="5891" width="32.5" customWidth="1"/>
    <col min="5899" max="5899" width="21.5" customWidth="1"/>
    <col min="6145" max="6145" width="2" customWidth="1"/>
    <col min="6146" max="6146" width="23.6640625" customWidth="1"/>
    <col min="6147" max="6147" width="32.5" customWidth="1"/>
    <col min="6155" max="6155" width="21.5" customWidth="1"/>
    <col min="6401" max="6401" width="2" customWidth="1"/>
    <col min="6402" max="6402" width="23.6640625" customWidth="1"/>
    <col min="6403" max="6403" width="32.5" customWidth="1"/>
    <col min="6411" max="6411" width="21.5" customWidth="1"/>
    <col min="6657" max="6657" width="2" customWidth="1"/>
    <col min="6658" max="6658" width="23.6640625" customWidth="1"/>
    <col min="6659" max="6659" width="32.5" customWidth="1"/>
    <col min="6667" max="6667" width="21.5" customWidth="1"/>
    <col min="6913" max="6913" width="2" customWidth="1"/>
    <col min="6914" max="6914" width="23.6640625" customWidth="1"/>
    <col min="6915" max="6915" width="32.5" customWidth="1"/>
    <col min="6923" max="6923" width="21.5" customWidth="1"/>
    <col min="7169" max="7169" width="2" customWidth="1"/>
    <col min="7170" max="7170" width="23.6640625" customWidth="1"/>
    <col min="7171" max="7171" width="32.5" customWidth="1"/>
    <col min="7179" max="7179" width="21.5" customWidth="1"/>
    <col min="7425" max="7425" width="2" customWidth="1"/>
    <col min="7426" max="7426" width="23.6640625" customWidth="1"/>
    <col min="7427" max="7427" width="32.5" customWidth="1"/>
    <col min="7435" max="7435" width="21.5" customWidth="1"/>
    <col min="7681" max="7681" width="2" customWidth="1"/>
    <col min="7682" max="7682" width="23.6640625" customWidth="1"/>
    <col min="7683" max="7683" width="32.5" customWidth="1"/>
    <col min="7691" max="7691" width="21.5" customWidth="1"/>
    <col min="7937" max="7937" width="2" customWidth="1"/>
    <col min="7938" max="7938" width="23.6640625" customWidth="1"/>
    <col min="7939" max="7939" width="32.5" customWidth="1"/>
    <col min="7947" max="7947" width="21.5" customWidth="1"/>
    <col min="8193" max="8193" width="2" customWidth="1"/>
    <col min="8194" max="8194" width="23.6640625" customWidth="1"/>
    <col min="8195" max="8195" width="32.5" customWidth="1"/>
    <col min="8203" max="8203" width="21.5" customWidth="1"/>
    <col min="8449" max="8449" width="2" customWidth="1"/>
    <col min="8450" max="8450" width="23.6640625" customWidth="1"/>
    <col min="8451" max="8451" width="32.5" customWidth="1"/>
    <col min="8459" max="8459" width="21.5" customWidth="1"/>
    <col min="8705" max="8705" width="2" customWidth="1"/>
    <col min="8706" max="8706" width="23.6640625" customWidth="1"/>
    <col min="8707" max="8707" width="32.5" customWidth="1"/>
    <col min="8715" max="8715" width="21.5" customWidth="1"/>
    <col min="8961" max="8961" width="2" customWidth="1"/>
    <col min="8962" max="8962" width="23.6640625" customWidth="1"/>
    <col min="8963" max="8963" width="32.5" customWidth="1"/>
    <col min="8971" max="8971" width="21.5" customWidth="1"/>
    <col min="9217" max="9217" width="2" customWidth="1"/>
    <col min="9218" max="9218" width="23.6640625" customWidth="1"/>
    <col min="9219" max="9219" width="32.5" customWidth="1"/>
    <col min="9227" max="9227" width="21.5" customWidth="1"/>
    <col min="9473" max="9473" width="2" customWidth="1"/>
    <col min="9474" max="9474" width="23.6640625" customWidth="1"/>
    <col min="9475" max="9475" width="32.5" customWidth="1"/>
    <col min="9483" max="9483" width="21.5" customWidth="1"/>
    <col min="9729" max="9729" width="2" customWidth="1"/>
    <col min="9730" max="9730" width="23.6640625" customWidth="1"/>
    <col min="9731" max="9731" width="32.5" customWidth="1"/>
    <col min="9739" max="9739" width="21.5" customWidth="1"/>
    <col min="9985" max="9985" width="2" customWidth="1"/>
    <col min="9986" max="9986" width="23.6640625" customWidth="1"/>
    <col min="9987" max="9987" width="32.5" customWidth="1"/>
    <col min="9995" max="9995" width="21.5" customWidth="1"/>
    <col min="10241" max="10241" width="2" customWidth="1"/>
    <col min="10242" max="10242" width="23.6640625" customWidth="1"/>
    <col min="10243" max="10243" width="32.5" customWidth="1"/>
    <col min="10251" max="10251" width="21.5" customWidth="1"/>
    <col min="10497" max="10497" width="2" customWidth="1"/>
    <col min="10498" max="10498" width="23.6640625" customWidth="1"/>
    <col min="10499" max="10499" width="32.5" customWidth="1"/>
    <col min="10507" max="10507" width="21.5" customWidth="1"/>
    <col min="10753" max="10753" width="2" customWidth="1"/>
    <col min="10754" max="10754" width="23.6640625" customWidth="1"/>
    <col min="10755" max="10755" width="32.5" customWidth="1"/>
    <col min="10763" max="10763" width="21.5" customWidth="1"/>
    <col min="11009" max="11009" width="2" customWidth="1"/>
    <col min="11010" max="11010" width="23.6640625" customWidth="1"/>
    <col min="11011" max="11011" width="32.5" customWidth="1"/>
    <col min="11019" max="11019" width="21.5" customWidth="1"/>
    <col min="11265" max="11265" width="2" customWidth="1"/>
    <col min="11266" max="11266" width="23.6640625" customWidth="1"/>
    <col min="11267" max="11267" width="32.5" customWidth="1"/>
    <col min="11275" max="11275" width="21.5" customWidth="1"/>
    <col min="11521" max="11521" width="2" customWidth="1"/>
    <col min="11522" max="11522" width="23.6640625" customWidth="1"/>
    <col min="11523" max="11523" width="32.5" customWidth="1"/>
    <col min="11531" max="11531" width="21.5" customWidth="1"/>
    <col min="11777" max="11777" width="2" customWidth="1"/>
    <col min="11778" max="11778" width="23.6640625" customWidth="1"/>
    <col min="11779" max="11779" width="32.5" customWidth="1"/>
    <col min="11787" max="11787" width="21.5" customWidth="1"/>
    <col min="12033" max="12033" width="2" customWidth="1"/>
    <col min="12034" max="12034" width="23.6640625" customWidth="1"/>
    <col min="12035" max="12035" width="32.5" customWidth="1"/>
    <col min="12043" max="12043" width="21.5" customWidth="1"/>
    <col min="12289" max="12289" width="2" customWidth="1"/>
    <col min="12290" max="12290" width="23.6640625" customWidth="1"/>
    <col min="12291" max="12291" width="32.5" customWidth="1"/>
    <col min="12299" max="12299" width="21.5" customWidth="1"/>
    <col min="12545" max="12545" width="2" customWidth="1"/>
    <col min="12546" max="12546" width="23.6640625" customWidth="1"/>
    <col min="12547" max="12547" width="32.5" customWidth="1"/>
    <col min="12555" max="12555" width="21.5" customWidth="1"/>
    <col min="12801" max="12801" width="2" customWidth="1"/>
    <col min="12802" max="12802" width="23.6640625" customWidth="1"/>
    <col min="12803" max="12803" width="32.5" customWidth="1"/>
    <col min="12811" max="12811" width="21.5" customWidth="1"/>
    <col min="13057" max="13057" width="2" customWidth="1"/>
    <col min="13058" max="13058" width="23.6640625" customWidth="1"/>
    <col min="13059" max="13059" width="32.5" customWidth="1"/>
    <col min="13067" max="13067" width="21.5" customWidth="1"/>
    <col min="13313" max="13313" width="2" customWidth="1"/>
    <col min="13314" max="13314" width="23.6640625" customWidth="1"/>
    <col min="13315" max="13315" width="32.5" customWidth="1"/>
    <col min="13323" max="13323" width="21.5" customWidth="1"/>
    <col min="13569" max="13569" width="2" customWidth="1"/>
    <col min="13570" max="13570" width="23.6640625" customWidth="1"/>
    <col min="13571" max="13571" width="32.5" customWidth="1"/>
    <col min="13579" max="13579" width="21.5" customWidth="1"/>
    <col min="13825" max="13825" width="2" customWidth="1"/>
    <col min="13826" max="13826" width="23.6640625" customWidth="1"/>
    <col min="13827" max="13827" width="32.5" customWidth="1"/>
    <col min="13835" max="13835" width="21.5" customWidth="1"/>
    <col min="14081" max="14081" width="2" customWidth="1"/>
    <col min="14082" max="14082" width="23.6640625" customWidth="1"/>
    <col min="14083" max="14083" width="32.5" customWidth="1"/>
    <col min="14091" max="14091" width="21.5" customWidth="1"/>
    <col min="14337" max="14337" width="2" customWidth="1"/>
    <col min="14338" max="14338" width="23.6640625" customWidth="1"/>
    <col min="14339" max="14339" width="32.5" customWidth="1"/>
    <col min="14347" max="14347" width="21.5" customWidth="1"/>
    <col min="14593" max="14593" width="2" customWidth="1"/>
    <col min="14594" max="14594" width="23.6640625" customWidth="1"/>
    <col min="14595" max="14595" width="32.5" customWidth="1"/>
    <col min="14603" max="14603" width="21.5" customWidth="1"/>
    <col min="14849" max="14849" width="2" customWidth="1"/>
    <col min="14850" max="14850" width="23.6640625" customWidth="1"/>
    <col min="14851" max="14851" width="32.5" customWidth="1"/>
    <col min="14859" max="14859" width="21.5" customWidth="1"/>
    <col min="15105" max="15105" width="2" customWidth="1"/>
    <col min="15106" max="15106" width="23.6640625" customWidth="1"/>
    <col min="15107" max="15107" width="32.5" customWidth="1"/>
    <col min="15115" max="15115" width="21.5" customWidth="1"/>
    <col min="15361" max="15361" width="2" customWidth="1"/>
    <col min="15362" max="15362" width="23.6640625" customWidth="1"/>
    <col min="15363" max="15363" width="32.5" customWidth="1"/>
    <col min="15371" max="15371" width="21.5" customWidth="1"/>
    <col min="15617" max="15617" width="2" customWidth="1"/>
    <col min="15618" max="15618" width="23.6640625" customWidth="1"/>
    <col min="15619" max="15619" width="32.5" customWidth="1"/>
    <col min="15627" max="15627" width="21.5" customWidth="1"/>
    <col min="15873" max="15873" width="2" customWidth="1"/>
    <col min="15874" max="15874" width="23.6640625" customWidth="1"/>
    <col min="15875" max="15875" width="32.5" customWidth="1"/>
    <col min="15883" max="15883" width="21.5" customWidth="1"/>
    <col min="16129" max="16129" width="2" customWidth="1"/>
    <col min="16130" max="16130" width="23.6640625" customWidth="1"/>
    <col min="16131" max="16131" width="32.5" customWidth="1"/>
    <col min="16139" max="16139" width="21.5" customWidth="1"/>
  </cols>
  <sheetData>
    <row r="6" spans="1:12" ht="22.5" customHeight="1" x14ac:dyDescent="0.2">
      <c r="B6" s="869" t="s">
        <v>647</v>
      </c>
    </row>
    <row r="7" spans="1:12" ht="24.75" customHeight="1" x14ac:dyDescent="0.25">
      <c r="B7" s="871" t="s">
        <v>648</v>
      </c>
      <c r="C7" s="871"/>
      <c r="D7" s="871"/>
      <c r="E7" s="871"/>
      <c r="F7" s="871"/>
      <c r="G7" s="871"/>
      <c r="H7" s="871"/>
      <c r="I7" s="871"/>
      <c r="J7" s="871"/>
      <c r="K7" s="871"/>
      <c r="L7" s="872"/>
    </row>
    <row r="8" spans="1:12" ht="24.75" customHeight="1" x14ac:dyDescent="0.3">
      <c r="B8" s="873" t="s">
        <v>649</v>
      </c>
      <c r="C8" s="873"/>
      <c r="D8" s="873"/>
      <c r="E8" s="873"/>
      <c r="F8" s="873"/>
      <c r="G8" s="873"/>
      <c r="H8" s="873"/>
      <c r="I8" s="873"/>
      <c r="J8" s="873"/>
      <c r="K8" s="873"/>
      <c r="L8" s="872"/>
    </row>
    <row r="10" spans="1:12" ht="18" x14ac:dyDescent="0.25">
      <c r="B10" s="874" t="s">
        <v>171</v>
      </c>
      <c r="C10" s="875"/>
      <c r="D10" s="876"/>
    </row>
    <row r="11" spans="1:12" ht="10.5" customHeight="1" x14ac:dyDescent="0.3">
      <c r="B11" s="877"/>
      <c r="C11" s="876"/>
      <c r="D11" s="876"/>
    </row>
    <row r="12" spans="1:12" s="14" customFormat="1" ht="16.5" customHeight="1" x14ac:dyDescent="0.25">
      <c r="A12" s="878"/>
      <c r="B12" s="879" t="s">
        <v>650</v>
      </c>
      <c r="C12" s="880"/>
      <c r="D12" s="880"/>
      <c r="E12" s="880"/>
      <c r="F12" s="880"/>
      <c r="G12" s="880"/>
      <c r="H12" s="880"/>
      <c r="I12" s="880"/>
      <c r="J12" s="880"/>
      <c r="K12" s="880"/>
      <c r="L12" s="870"/>
    </row>
    <row r="13" spans="1:12" ht="10.5" customHeight="1" x14ac:dyDescent="0.25">
      <c r="B13" s="881"/>
      <c r="C13" s="882"/>
      <c r="D13" s="881"/>
      <c r="E13" s="7"/>
      <c r="F13" s="881"/>
      <c r="G13" s="52"/>
      <c r="H13" s="52"/>
      <c r="I13" s="52"/>
      <c r="J13" s="52"/>
      <c r="K13" s="52"/>
    </row>
    <row r="14" spans="1:12" ht="15.75" customHeight="1" x14ac:dyDescent="0.25">
      <c r="B14" s="883" t="s">
        <v>651</v>
      </c>
      <c r="C14" s="884" t="s">
        <v>652</v>
      </c>
      <c r="D14" s="885"/>
      <c r="E14" s="885"/>
      <c r="F14" s="885"/>
      <c r="G14" s="885"/>
      <c r="H14" s="885"/>
      <c r="I14" s="885"/>
      <c r="J14" s="885"/>
      <c r="K14" s="886"/>
    </row>
    <row r="15" spans="1:12" ht="7.5" customHeight="1" x14ac:dyDescent="0.25">
      <c r="B15" s="887"/>
      <c r="C15" s="888"/>
      <c r="D15" s="889"/>
      <c r="E15" s="889"/>
      <c r="F15" s="889"/>
      <c r="G15" s="889"/>
      <c r="H15" s="889"/>
      <c r="I15" s="889"/>
      <c r="J15" s="889"/>
      <c r="K15" s="890"/>
    </row>
    <row r="16" spans="1:12" ht="15.75" customHeight="1" x14ac:dyDescent="0.25">
      <c r="B16" s="887" t="s">
        <v>172</v>
      </c>
      <c r="C16" s="888" t="s">
        <v>653</v>
      </c>
      <c r="D16" s="889"/>
      <c r="E16" s="889"/>
      <c r="F16" s="889"/>
      <c r="G16" s="889"/>
      <c r="H16" s="889"/>
      <c r="I16" s="889"/>
      <c r="J16" s="889"/>
      <c r="K16" s="890"/>
    </row>
    <row r="17" spans="2:12" ht="7.5" customHeight="1" x14ac:dyDescent="0.25">
      <c r="B17" s="887"/>
      <c r="C17" s="888"/>
      <c r="D17" s="889"/>
      <c r="E17" s="889"/>
      <c r="F17" s="889"/>
      <c r="G17" s="889"/>
      <c r="H17" s="889"/>
      <c r="I17" s="889"/>
      <c r="J17" s="889"/>
      <c r="K17" s="890"/>
    </row>
    <row r="18" spans="2:12" ht="15.75" customHeight="1" x14ac:dyDescent="0.25">
      <c r="B18" s="887" t="s">
        <v>654</v>
      </c>
      <c r="C18" s="888" t="s">
        <v>173</v>
      </c>
      <c r="D18" s="891"/>
      <c r="E18" s="891"/>
      <c r="F18" s="891"/>
      <c r="G18" s="891"/>
      <c r="H18" s="891"/>
      <c r="I18" s="891"/>
      <c r="J18" s="891"/>
      <c r="K18" s="891"/>
      <c r="L18" s="870" t="s">
        <v>463</v>
      </c>
    </row>
    <row r="19" spans="2:12" ht="7.5" customHeight="1" x14ac:dyDescent="0.25">
      <c r="B19" s="887"/>
      <c r="C19" s="888"/>
      <c r="D19" s="889"/>
      <c r="E19" s="889"/>
      <c r="F19" s="889"/>
      <c r="G19" s="889"/>
      <c r="H19" s="889"/>
      <c r="I19" s="889"/>
      <c r="J19" s="889"/>
      <c r="K19" s="890"/>
    </row>
    <row r="20" spans="2:12" ht="15.75" customHeight="1" x14ac:dyDescent="0.25">
      <c r="B20" s="887" t="s">
        <v>655</v>
      </c>
      <c r="C20" s="888" t="s">
        <v>656</v>
      </c>
      <c r="D20" s="891"/>
      <c r="E20" s="891"/>
      <c r="F20" s="891"/>
      <c r="G20" s="891"/>
      <c r="H20" s="891"/>
      <c r="I20" s="891"/>
      <c r="J20" s="891"/>
      <c r="K20" s="891"/>
      <c r="L20" s="870" t="s">
        <v>657</v>
      </c>
    </row>
    <row r="21" spans="2:12" ht="7.5" customHeight="1" x14ac:dyDescent="0.25">
      <c r="B21" s="887"/>
      <c r="C21" s="888"/>
      <c r="D21" s="889"/>
      <c r="E21" s="889"/>
      <c r="F21" s="889"/>
      <c r="G21" s="889"/>
      <c r="H21" s="889"/>
      <c r="I21" s="889"/>
      <c r="J21" s="889"/>
      <c r="K21" s="890"/>
    </row>
    <row r="22" spans="2:12" ht="15.75" customHeight="1" x14ac:dyDescent="0.25">
      <c r="B22" s="887" t="s">
        <v>658</v>
      </c>
      <c r="C22" s="888" t="s">
        <v>659</v>
      </c>
      <c r="D22" s="891"/>
      <c r="E22" s="891"/>
      <c r="F22" s="891"/>
      <c r="G22" s="891"/>
      <c r="H22" s="891"/>
      <c r="I22" s="891"/>
      <c r="J22" s="891"/>
      <c r="K22" s="891"/>
      <c r="L22" s="870" t="s">
        <v>469</v>
      </c>
    </row>
    <row r="23" spans="2:12" ht="7.5" customHeight="1" x14ac:dyDescent="0.25">
      <c r="B23" s="887"/>
      <c r="C23" s="888"/>
      <c r="D23" s="889"/>
      <c r="E23" s="889"/>
      <c r="F23" s="889"/>
      <c r="G23" s="889"/>
      <c r="H23" s="889"/>
      <c r="I23" s="889"/>
      <c r="J23" s="889"/>
      <c r="K23" s="890"/>
    </row>
    <row r="24" spans="2:12" ht="15.75" customHeight="1" x14ac:dyDescent="0.25">
      <c r="B24" s="887" t="s">
        <v>660</v>
      </c>
      <c r="C24" s="888" t="s">
        <v>661</v>
      </c>
      <c r="D24" s="889"/>
      <c r="E24" s="889"/>
      <c r="F24" s="889"/>
      <c r="G24" s="889"/>
      <c r="H24" s="889"/>
      <c r="I24" s="889"/>
      <c r="J24" s="889"/>
      <c r="K24" s="890"/>
      <c r="L24" s="870" t="s">
        <v>662</v>
      </c>
    </row>
    <row r="25" spans="2:12" ht="7.5" customHeight="1" x14ac:dyDescent="0.25">
      <c r="B25" s="887"/>
      <c r="C25" s="888"/>
      <c r="D25" s="889"/>
      <c r="E25" s="889"/>
      <c r="F25" s="889"/>
      <c r="G25" s="889"/>
      <c r="H25" s="889"/>
      <c r="I25" s="889"/>
      <c r="J25" s="889"/>
      <c r="K25" s="890"/>
    </row>
    <row r="26" spans="2:12" ht="15.75" customHeight="1" x14ac:dyDescent="0.25">
      <c r="B26" s="887" t="s">
        <v>663</v>
      </c>
      <c r="C26" s="888" t="s">
        <v>229</v>
      </c>
      <c r="D26" s="891"/>
      <c r="E26" s="891"/>
      <c r="F26" s="891"/>
      <c r="G26" s="891"/>
      <c r="H26" s="891"/>
      <c r="I26" s="891"/>
      <c r="J26" s="891"/>
      <c r="K26" s="891"/>
      <c r="L26" s="870" t="s">
        <v>664</v>
      </c>
    </row>
    <row r="27" spans="2:12" ht="7.5" customHeight="1" x14ac:dyDescent="0.25">
      <c r="B27" s="887"/>
      <c r="C27" s="888"/>
      <c r="D27" s="889"/>
      <c r="E27" s="889"/>
      <c r="F27" s="889"/>
      <c r="G27" s="889"/>
      <c r="H27" s="889"/>
      <c r="I27" s="889"/>
      <c r="J27" s="889"/>
      <c r="K27" s="890"/>
    </row>
    <row r="28" spans="2:12" ht="15.75" customHeight="1" x14ac:dyDescent="0.25">
      <c r="B28" s="887" t="s">
        <v>665</v>
      </c>
      <c r="C28" s="888" t="s">
        <v>666</v>
      </c>
      <c r="D28" s="889"/>
      <c r="E28" s="889"/>
      <c r="F28" s="889"/>
      <c r="G28" s="889"/>
      <c r="H28" s="889"/>
      <c r="I28" s="889"/>
      <c r="J28" s="889"/>
      <c r="K28" s="890"/>
    </row>
    <row r="29" spans="2:12" ht="9.75" customHeight="1" x14ac:dyDescent="0.25">
      <c r="B29" s="892"/>
      <c r="C29" s="893"/>
      <c r="D29" s="893"/>
      <c r="E29" s="893"/>
      <c r="F29" s="893"/>
      <c r="G29" s="893"/>
      <c r="H29" s="893"/>
      <c r="I29" s="893"/>
      <c r="J29" s="893"/>
      <c r="K29" s="893"/>
    </row>
    <row r="30" spans="2:12" ht="15" x14ac:dyDescent="0.25">
      <c r="B30" s="892"/>
      <c r="C30" s="894"/>
      <c r="D30" s="894"/>
      <c r="E30" s="894"/>
      <c r="F30" s="894"/>
      <c r="G30" s="894"/>
      <c r="H30" s="894"/>
      <c r="I30" s="894"/>
      <c r="J30" s="894"/>
      <c r="K30" s="894"/>
    </row>
    <row r="31" spans="2:12" ht="7.5" customHeight="1" x14ac:dyDescent="0.25">
      <c r="B31" s="9"/>
      <c r="C31" s="895"/>
      <c r="D31" s="895"/>
      <c r="E31" s="895"/>
      <c r="F31" s="895"/>
      <c r="G31" s="895"/>
      <c r="H31" s="895"/>
      <c r="I31" s="895"/>
      <c r="J31" s="895"/>
    </row>
    <row r="32" spans="2:12" s="899" customFormat="1" ht="15" x14ac:dyDescent="0.25">
      <c r="B32" s="896"/>
      <c r="C32" s="897"/>
      <c r="D32" s="897"/>
      <c r="E32" s="897"/>
      <c r="F32" s="897"/>
      <c r="G32" s="897"/>
      <c r="H32" s="897"/>
      <c r="I32" s="897"/>
      <c r="J32" s="897"/>
      <c r="K32" s="897"/>
      <c r="L32" s="898"/>
    </row>
    <row r="33" spans="2:4" ht="27" customHeight="1" x14ac:dyDescent="0.2"/>
    <row r="34" spans="2:4" ht="27.75" customHeight="1" x14ac:dyDescent="0.2"/>
    <row r="35" spans="2:4" ht="27.75" customHeight="1" x14ac:dyDescent="0.2"/>
    <row r="36" spans="2:4" ht="30.75" customHeight="1" x14ac:dyDescent="0.2"/>
    <row r="37" spans="2:4" ht="26.25" customHeight="1" x14ac:dyDescent="0.2"/>
    <row r="38" spans="2:4" ht="32.25" customHeight="1" x14ac:dyDescent="0.2"/>
    <row r="39" spans="2:4" ht="40.5" customHeight="1" x14ac:dyDescent="0.2"/>
    <row r="40" spans="2:4" ht="28.5" customHeight="1" x14ac:dyDescent="0.2"/>
    <row r="41" spans="2:4" x14ac:dyDescent="0.2">
      <c r="B41" s="876"/>
      <c r="C41" s="876"/>
      <c r="D41" s="876"/>
    </row>
  </sheetData>
  <sheetProtection sheet="1" formatCells="0" formatColumns="0" formatRows="0" insertColumns="0"/>
  <mergeCells count="21">
    <mergeCell ref="C29:K29"/>
    <mergeCell ref="C30:K30"/>
    <mergeCell ref="C32:K32"/>
    <mergeCell ref="C23:K23"/>
    <mergeCell ref="C24:K24"/>
    <mergeCell ref="C25:K25"/>
    <mergeCell ref="C26:K26"/>
    <mergeCell ref="C27:K27"/>
    <mergeCell ref="C28:K28"/>
    <mergeCell ref="C17:K17"/>
    <mergeCell ref="C18:K18"/>
    <mergeCell ref="C19:K19"/>
    <mergeCell ref="C20:K20"/>
    <mergeCell ref="C21:K21"/>
    <mergeCell ref="C22:K22"/>
    <mergeCell ref="B7:K7"/>
    <mergeCell ref="B8:K8"/>
    <mergeCell ref="B12:K12"/>
    <mergeCell ref="C14:K14"/>
    <mergeCell ref="C15:K15"/>
    <mergeCell ref="C16:K16"/>
  </mergeCells>
  <printOptions horizontalCentered="1"/>
  <pageMargins left="0.5" right="0.5" top="0.75" bottom="0.75" header="0.5" footer="0.5"/>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topLeftCell="C1" zoomScaleNormal="90" zoomScaleSheetLayoutView="100" workbookViewId="0">
      <selection activeCell="C1" sqref="C1"/>
    </sheetView>
  </sheetViews>
  <sheetFormatPr defaultColWidth="9.33203125" defaultRowHeight="12.75" x14ac:dyDescent="0.2"/>
  <cols>
    <col min="1" max="1" width="6.6640625" hidden="1" customWidth="1"/>
    <col min="2" max="2" width="4" style="28" hidden="1" customWidth="1"/>
    <col min="3" max="3" width="9.33203125" style="28" customWidth="1"/>
    <col min="4" max="7" width="9.33203125" customWidth="1"/>
    <col min="8" max="8" width="8.5" customWidth="1"/>
    <col min="9" max="10" width="9.33203125" customWidth="1"/>
    <col min="11" max="11" width="20.5" customWidth="1"/>
    <col min="12" max="12" width="9.33203125" customWidth="1"/>
    <col min="13" max="13" width="7.6640625" customWidth="1"/>
    <col min="14" max="15" width="9.33203125" customWidth="1"/>
    <col min="16" max="16" width="16" customWidth="1"/>
    <col min="17" max="17" width="9.33203125" customWidth="1"/>
    <col min="18" max="18" width="1.83203125" customWidth="1"/>
    <col min="19" max="20" width="9.33203125" customWidth="1"/>
    <col min="21" max="21" width="1.83203125" customWidth="1"/>
  </cols>
  <sheetData>
    <row r="1" spans="2:18" s="14" customFormat="1" ht="15.75" x14ac:dyDescent="0.25">
      <c r="B1" s="31"/>
      <c r="C1" s="32" t="s">
        <v>171</v>
      </c>
      <c r="D1" s="19"/>
      <c r="E1" s="19"/>
      <c r="F1" s="19"/>
      <c r="G1" s="20"/>
      <c r="H1" s="20"/>
      <c r="I1" s="20"/>
      <c r="J1" s="21"/>
      <c r="K1" s="21"/>
      <c r="L1" s="21"/>
      <c r="M1" s="20"/>
      <c r="N1" s="20"/>
      <c r="O1" s="20"/>
      <c r="P1" s="20"/>
    </row>
    <row r="2" spans="2:18" ht="6.75" customHeight="1" x14ac:dyDescent="0.2">
      <c r="D2" s="1"/>
      <c r="E2" s="1"/>
      <c r="F2" s="1"/>
      <c r="G2" s="2"/>
      <c r="H2" s="2"/>
      <c r="I2" s="2"/>
      <c r="M2" s="2"/>
      <c r="N2" s="2"/>
      <c r="O2" s="2"/>
      <c r="P2" s="2"/>
    </row>
    <row r="3" spans="2:18" s="29" customFormat="1" ht="15" x14ac:dyDescent="0.25">
      <c r="C3" s="24" t="s">
        <v>323</v>
      </c>
      <c r="D3" s="25"/>
      <c r="E3" s="25"/>
      <c r="F3" s="24"/>
      <c r="G3" s="24"/>
      <c r="H3" s="27"/>
      <c r="K3" s="26" t="s">
        <v>332</v>
      </c>
      <c r="L3" s="27"/>
      <c r="M3" s="27"/>
      <c r="N3" s="27"/>
      <c r="O3" s="24"/>
      <c r="P3" s="30"/>
      <c r="Q3" s="30"/>
      <c r="R3" s="30"/>
    </row>
    <row r="4" spans="2:18" ht="7.5" customHeight="1" x14ac:dyDescent="0.2">
      <c r="C4" s="42"/>
      <c r="D4" s="5"/>
      <c r="E4" s="5"/>
      <c r="F4" s="5"/>
      <c r="G4" s="3"/>
      <c r="H4" s="3"/>
      <c r="I4" s="3"/>
      <c r="J4" s="4"/>
      <c r="K4" s="4"/>
      <c r="L4" s="4"/>
      <c r="M4" s="3"/>
      <c r="N4" s="3"/>
      <c r="O4" s="3"/>
      <c r="P4" s="3"/>
    </row>
    <row r="5" spans="2:18" s="14" customFormat="1" ht="17.25" customHeight="1" x14ac:dyDescent="0.25">
      <c r="B5" s="31"/>
      <c r="C5" s="853" t="s">
        <v>546</v>
      </c>
      <c r="D5" s="854"/>
      <c r="E5" s="854"/>
      <c r="F5" s="854"/>
      <c r="G5" s="854"/>
      <c r="H5" s="854"/>
      <c r="I5" s="854"/>
      <c r="J5" s="854"/>
      <c r="K5" s="854"/>
      <c r="L5" s="854"/>
      <c r="M5" s="854"/>
      <c r="N5" s="22"/>
      <c r="O5" s="22"/>
      <c r="P5" s="22"/>
    </row>
    <row r="6" spans="2:18" ht="9.75" customHeight="1" x14ac:dyDescent="0.2"/>
    <row r="7" spans="2:18" ht="17.25" customHeight="1" x14ac:dyDescent="0.2">
      <c r="C7" s="855" t="s">
        <v>545</v>
      </c>
      <c r="D7" s="856"/>
      <c r="E7" s="856"/>
      <c r="F7" s="856"/>
      <c r="G7" s="856"/>
      <c r="H7" s="856"/>
      <c r="I7" s="856"/>
      <c r="J7" s="856"/>
      <c r="K7" s="856"/>
      <c r="L7" s="856"/>
      <c r="M7" s="856"/>
      <c r="N7" s="856"/>
      <c r="O7" s="856"/>
      <c r="P7" s="857"/>
    </row>
    <row r="8" spans="2:18" ht="25.5" customHeight="1" x14ac:dyDescent="0.2">
      <c r="C8" s="861"/>
      <c r="D8" s="862"/>
      <c r="E8" s="862"/>
      <c r="F8" s="862"/>
      <c r="G8" s="862"/>
      <c r="H8" s="862"/>
      <c r="I8" s="862"/>
      <c r="J8" s="862"/>
      <c r="K8" s="862"/>
      <c r="L8" s="862"/>
      <c r="M8" s="862"/>
      <c r="N8" s="862"/>
      <c r="O8" s="862"/>
      <c r="P8" s="863"/>
    </row>
    <row r="9" spans="2:18" ht="39" customHeight="1" x14ac:dyDescent="0.2">
      <c r="C9" s="858" t="s">
        <v>544</v>
      </c>
      <c r="D9" s="859"/>
      <c r="E9" s="859"/>
      <c r="F9" s="859"/>
      <c r="G9" s="859"/>
      <c r="H9" s="859"/>
      <c r="I9" s="859"/>
      <c r="J9" s="859"/>
      <c r="K9" s="859"/>
      <c r="L9" s="859"/>
      <c r="M9" s="859"/>
      <c r="N9" s="859"/>
      <c r="O9" s="859"/>
      <c r="P9" s="860"/>
    </row>
    <row r="10" spans="2:18" ht="15" customHeight="1" x14ac:dyDescent="0.2">
      <c r="C10" s="848"/>
      <c r="D10" s="849"/>
      <c r="E10" s="849"/>
      <c r="F10" s="849"/>
      <c r="G10" s="849"/>
      <c r="H10" s="849"/>
      <c r="I10" s="849"/>
      <c r="J10" s="849"/>
      <c r="K10" s="849"/>
      <c r="L10" s="849"/>
      <c r="M10" s="849"/>
      <c r="N10" s="849"/>
      <c r="O10" s="849"/>
      <c r="P10" s="850"/>
    </row>
    <row r="11" spans="2:18" ht="15" customHeight="1" x14ac:dyDescent="0.2">
      <c r="C11" s="848"/>
      <c r="D11" s="849"/>
      <c r="E11" s="849"/>
      <c r="F11" s="849"/>
      <c r="G11" s="849"/>
      <c r="H11" s="849"/>
      <c r="I11" s="849"/>
      <c r="J11" s="849"/>
      <c r="K11" s="849"/>
      <c r="L11" s="849"/>
      <c r="M11" s="849"/>
      <c r="N11" s="849"/>
      <c r="O11" s="849"/>
      <c r="P11" s="850"/>
    </row>
    <row r="12" spans="2:18" ht="15" customHeight="1" x14ac:dyDescent="0.2">
      <c r="C12" s="848"/>
      <c r="D12" s="849"/>
      <c r="E12" s="849"/>
      <c r="F12" s="849"/>
      <c r="G12" s="849"/>
      <c r="H12" s="849"/>
      <c r="I12" s="849"/>
      <c r="J12" s="849"/>
      <c r="K12" s="849"/>
      <c r="L12" s="849"/>
      <c r="M12" s="849"/>
      <c r="N12" s="849"/>
      <c r="O12" s="849"/>
      <c r="P12" s="850"/>
    </row>
    <row r="13" spans="2:18" ht="15" customHeight="1" x14ac:dyDescent="0.2">
      <c r="C13" s="848"/>
      <c r="D13" s="851"/>
      <c r="E13" s="851"/>
      <c r="F13" s="851"/>
      <c r="G13" s="851"/>
      <c r="H13" s="851"/>
      <c r="I13" s="851"/>
      <c r="J13" s="851"/>
      <c r="K13" s="851"/>
      <c r="L13" s="851"/>
      <c r="M13" s="851"/>
      <c r="N13" s="851"/>
      <c r="O13" s="851"/>
      <c r="P13" s="852"/>
    </row>
    <row r="14" spans="2:18" ht="15" customHeight="1" x14ac:dyDescent="0.2">
      <c r="C14" s="848"/>
      <c r="D14" s="849"/>
      <c r="E14" s="849"/>
      <c r="F14" s="849"/>
      <c r="G14" s="849"/>
      <c r="H14" s="849"/>
      <c r="I14" s="849"/>
      <c r="J14" s="849"/>
      <c r="K14" s="849"/>
      <c r="L14" s="849"/>
      <c r="M14" s="849"/>
      <c r="N14" s="849"/>
      <c r="O14" s="849"/>
      <c r="P14" s="850"/>
    </row>
    <row r="15" spans="2:18" ht="15" customHeight="1" x14ac:dyDescent="0.2">
      <c r="C15" s="848"/>
      <c r="D15" s="849"/>
      <c r="E15" s="849"/>
      <c r="F15" s="849"/>
      <c r="G15" s="849"/>
      <c r="H15" s="849"/>
      <c r="I15" s="849"/>
      <c r="J15" s="849"/>
      <c r="K15" s="849"/>
      <c r="L15" s="849"/>
      <c r="M15" s="849"/>
      <c r="N15" s="849"/>
      <c r="O15" s="849"/>
      <c r="P15" s="850"/>
    </row>
    <row r="16" spans="2:18" ht="15" customHeight="1" x14ac:dyDescent="0.2">
      <c r="C16" s="848"/>
      <c r="D16" s="849"/>
      <c r="E16" s="849"/>
      <c r="F16" s="849"/>
      <c r="G16" s="849"/>
      <c r="H16" s="849"/>
      <c r="I16" s="849"/>
      <c r="J16" s="849"/>
      <c r="K16" s="849"/>
      <c r="L16" s="849"/>
      <c r="M16" s="849"/>
      <c r="N16" s="849"/>
      <c r="O16" s="849"/>
      <c r="P16" s="850"/>
    </row>
    <row r="17" spans="3:16" ht="15" customHeight="1" x14ac:dyDescent="0.2">
      <c r="C17" s="848"/>
      <c r="D17" s="851"/>
      <c r="E17" s="851"/>
      <c r="F17" s="851"/>
      <c r="G17" s="851"/>
      <c r="H17" s="851"/>
      <c r="I17" s="851"/>
      <c r="J17" s="851"/>
      <c r="K17" s="851"/>
      <c r="L17" s="851"/>
      <c r="M17" s="851"/>
      <c r="N17" s="851"/>
      <c r="O17" s="851"/>
      <c r="P17" s="852"/>
    </row>
    <row r="18" spans="3:16" ht="15" customHeight="1" x14ac:dyDescent="0.2">
      <c r="C18" s="848"/>
      <c r="D18" s="851"/>
      <c r="E18" s="851"/>
      <c r="F18" s="851"/>
      <c r="G18" s="851"/>
      <c r="H18" s="851"/>
      <c r="I18" s="851"/>
      <c r="J18" s="851"/>
      <c r="K18" s="851"/>
      <c r="L18" s="851"/>
      <c r="M18" s="851"/>
      <c r="N18" s="851"/>
      <c r="O18" s="851"/>
      <c r="P18" s="852"/>
    </row>
    <row r="19" spans="3:16" ht="15" customHeight="1" x14ac:dyDescent="0.2">
      <c r="C19" s="855" t="s">
        <v>333</v>
      </c>
      <c r="D19" s="856"/>
      <c r="E19" s="856"/>
      <c r="F19" s="856"/>
      <c r="G19" s="856"/>
      <c r="H19" s="856"/>
      <c r="I19" s="856"/>
      <c r="J19" s="856"/>
      <c r="K19" s="856"/>
      <c r="L19" s="856"/>
      <c r="M19" s="856"/>
      <c r="N19" s="856"/>
      <c r="O19" s="856"/>
      <c r="P19" s="857"/>
    </row>
    <row r="20" spans="3:16" ht="15" customHeight="1" x14ac:dyDescent="0.2">
      <c r="C20" s="848"/>
      <c r="D20" s="864"/>
      <c r="E20" s="864"/>
      <c r="F20" s="864"/>
      <c r="G20" s="864"/>
      <c r="H20" s="864"/>
      <c r="I20" s="864"/>
      <c r="J20" s="864"/>
      <c r="K20" s="864"/>
      <c r="L20" s="864"/>
      <c r="M20" s="864"/>
      <c r="N20" s="864"/>
      <c r="O20" s="864"/>
      <c r="P20" s="865"/>
    </row>
    <row r="21" spans="3:16" ht="15" customHeight="1" x14ac:dyDescent="0.2">
      <c r="C21" s="848"/>
      <c r="D21" s="864"/>
      <c r="E21" s="864"/>
      <c r="F21" s="864"/>
      <c r="G21" s="864"/>
      <c r="H21" s="864"/>
      <c r="I21" s="864"/>
      <c r="J21" s="864"/>
      <c r="K21" s="864"/>
      <c r="L21" s="864"/>
      <c r="M21" s="864"/>
      <c r="N21" s="864"/>
      <c r="O21" s="864"/>
      <c r="P21" s="865"/>
    </row>
    <row r="22" spans="3:16" ht="15" customHeight="1" x14ac:dyDescent="0.2">
      <c r="C22" s="848"/>
      <c r="D22" s="864"/>
      <c r="E22" s="864"/>
      <c r="F22" s="864"/>
      <c r="G22" s="864"/>
      <c r="H22" s="864"/>
      <c r="I22" s="864"/>
      <c r="J22" s="864"/>
      <c r="K22" s="864"/>
      <c r="L22" s="864"/>
      <c r="M22" s="864"/>
      <c r="N22" s="864"/>
      <c r="O22" s="864"/>
      <c r="P22" s="865"/>
    </row>
    <row r="23" spans="3:16" ht="15" customHeight="1" x14ac:dyDescent="0.2">
      <c r="C23" s="848"/>
      <c r="D23" s="864"/>
      <c r="E23" s="864"/>
      <c r="F23" s="864"/>
      <c r="G23" s="864"/>
      <c r="H23" s="864"/>
      <c r="I23" s="864"/>
      <c r="J23" s="864"/>
      <c r="K23" s="864"/>
      <c r="L23" s="864"/>
      <c r="M23" s="864"/>
      <c r="N23" s="864"/>
      <c r="O23" s="864"/>
      <c r="P23" s="865"/>
    </row>
    <row r="24" spans="3:16" ht="15" customHeight="1" x14ac:dyDescent="0.2">
      <c r="C24" s="866"/>
      <c r="D24" s="867"/>
      <c r="E24" s="867"/>
      <c r="F24" s="867"/>
      <c r="G24" s="867"/>
      <c r="H24" s="867"/>
      <c r="I24" s="867"/>
      <c r="J24" s="867"/>
      <c r="K24" s="867"/>
      <c r="L24" s="867"/>
      <c r="M24" s="867"/>
      <c r="N24" s="867"/>
      <c r="O24" s="867"/>
      <c r="P24" s="868"/>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14:P14"/>
    <mergeCell ref="C11:P11"/>
    <mergeCell ref="C12:P12"/>
    <mergeCell ref="C13:P13"/>
    <mergeCell ref="C5:M5"/>
    <mergeCell ref="C7:P7"/>
    <mergeCell ref="C9:P9"/>
    <mergeCell ref="C8:P8"/>
    <mergeCell ref="C10:P10"/>
  </mergeCells>
  <phoneticPr fontId="8" type="noConversion"/>
  <printOptions horizontalCentered="1"/>
  <pageMargins left="0.56000000000000005" right="0.4" top="0.65" bottom="0.984251969" header="0.43" footer="0.5"/>
  <pageSetup paperSize="9" scale="70" orientation="landscape" r:id="rId1"/>
  <headerFooter alignWithMargins="0">
    <oddFooter>&amp;C&amp;"Arial,Normal"&amp;8Questionnaire UNSD/PNUE 2013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60"/>
  <sheetViews>
    <sheetView showGridLines="0" zoomScaleSheetLayoutView="100" workbookViewId="0"/>
  </sheetViews>
  <sheetFormatPr defaultColWidth="9.33203125" defaultRowHeight="12.75" x14ac:dyDescent="0.2"/>
  <cols>
    <col min="1" max="1" width="3.33203125" customWidth="1"/>
    <col min="2" max="2" width="12.83203125" customWidth="1"/>
    <col min="3" max="3" width="25" customWidth="1"/>
    <col min="4" max="6" width="15.83203125" customWidth="1"/>
    <col min="7" max="7" width="11.5" customWidth="1"/>
    <col min="8" max="9" width="9.33203125" customWidth="1"/>
    <col min="10" max="10" width="16.83203125" customWidth="1"/>
    <col min="11" max="11" width="27.33203125" customWidth="1"/>
  </cols>
  <sheetData>
    <row r="1" spans="1:11" ht="15.75" x14ac:dyDescent="0.25">
      <c r="A1" s="28"/>
      <c r="B1" s="23" t="s">
        <v>230</v>
      </c>
    </row>
    <row r="2" spans="1:11" ht="9.75" customHeight="1" x14ac:dyDescent="0.2"/>
    <row r="3" spans="1:11" s="14" customFormat="1" ht="16.5" customHeight="1" x14ac:dyDescent="0.2">
      <c r="B3" s="676" t="s">
        <v>174</v>
      </c>
      <c r="C3" s="676"/>
      <c r="D3" s="676"/>
      <c r="E3" s="676"/>
      <c r="F3" s="676"/>
      <c r="G3" s="676"/>
      <c r="H3" s="676"/>
      <c r="I3" s="676"/>
      <c r="J3" s="676"/>
      <c r="K3" s="676"/>
    </row>
    <row r="4" spans="1:11" ht="9.75" customHeight="1" x14ac:dyDescent="0.25">
      <c r="C4" s="9"/>
    </row>
    <row r="5" spans="1:11" s="14" customFormat="1" ht="15.75" x14ac:dyDescent="0.25">
      <c r="B5" s="677" t="s">
        <v>1</v>
      </c>
      <c r="C5" s="677"/>
      <c r="D5" s="677"/>
      <c r="E5" s="677"/>
      <c r="F5" s="677"/>
      <c r="G5" s="677"/>
      <c r="H5" s="677"/>
      <c r="I5" s="677"/>
      <c r="J5" s="677"/>
      <c r="K5" s="677"/>
    </row>
    <row r="6" spans="1:11" ht="11.25" customHeight="1" x14ac:dyDescent="0.25">
      <c r="B6" s="10"/>
      <c r="C6" s="11"/>
      <c r="D6" s="6"/>
      <c r="F6" s="6"/>
      <c r="G6" s="4"/>
      <c r="H6" s="4"/>
      <c r="I6" s="4"/>
      <c r="J6" s="4"/>
    </row>
    <row r="7" spans="1:11" s="7" customFormat="1" ht="45" customHeight="1" x14ac:dyDescent="0.2">
      <c r="B7" s="672" t="s">
        <v>521</v>
      </c>
      <c r="C7" s="672"/>
      <c r="D7" s="672"/>
      <c r="E7" s="672"/>
      <c r="F7" s="672"/>
      <c r="G7" s="672"/>
      <c r="H7" s="672"/>
      <c r="I7" s="672"/>
      <c r="J7" s="672"/>
      <c r="K7" s="672"/>
    </row>
    <row r="8" spans="1:11" s="7" customFormat="1" ht="30" customHeight="1" x14ac:dyDescent="0.2">
      <c r="B8" s="672" t="s">
        <v>231</v>
      </c>
      <c r="C8" s="674"/>
      <c r="D8" s="674"/>
      <c r="E8" s="674"/>
      <c r="F8" s="674"/>
      <c r="G8" s="674"/>
      <c r="H8" s="674"/>
      <c r="I8" s="674"/>
      <c r="J8" s="674"/>
      <c r="K8" s="674"/>
    </row>
    <row r="9" spans="1:11" s="2" customFormat="1" ht="45.75" customHeight="1" x14ac:dyDescent="0.2">
      <c r="B9" s="675" t="s">
        <v>614</v>
      </c>
      <c r="C9" s="675"/>
      <c r="D9" s="675"/>
      <c r="E9" s="675"/>
      <c r="F9" s="675"/>
      <c r="G9" s="675"/>
      <c r="H9" s="675"/>
      <c r="I9" s="675"/>
      <c r="J9" s="675"/>
      <c r="K9" s="675"/>
    </row>
    <row r="10" spans="1:11" s="7" customFormat="1" ht="31.5" customHeight="1" x14ac:dyDescent="0.2">
      <c r="B10" s="678" t="s">
        <v>175</v>
      </c>
      <c r="C10" s="678"/>
      <c r="D10" s="678"/>
      <c r="E10" s="678"/>
      <c r="F10" s="678"/>
      <c r="G10" s="678"/>
      <c r="H10" s="678"/>
      <c r="I10" s="678"/>
      <c r="J10" s="678"/>
      <c r="K10" s="678"/>
    </row>
    <row r="11" spans="1:11" s="49" customFormat="1" ht="30" customHeight="1" x14ac:dyDescent="0.2">
      <c r="B11" s="679" t="s">
        <v>232</v>
      </c>
      <c r="C11" s="679"/>
      <c r="D11" s="679"/>
      <c r="E11" s="679"/>
      <c r="F11" s="679"/>
      <c r="G11" s="679"/>
      <c r="H11" s="679"/>
      <c r="I11" s="679"/>
      <c r="J11" s="679"/>
      <c r="K11" s="679"/>
    </row>
    <row r="12" spans="1:11" s="7" customFormat="1" ht="42.75" customHeight="1" x14ac:dyDescent="0.2">
      <c r="B12" s="672" t="s">
        <v>522</v>
      </c>
      <c r="C12" s="672"/>
      <c r="D12" s="672"/>
      <c r="E12" s="672"/>
      <c r="F12" s="672"/>
      <c r="G12" s="672"/>
      <c r="H12" s="672"/>
      <c r="I12" s="672"/>
      <c r="J12" s="672"/>
      <c r="K12" s="672"/>
    </row>
    <row r="13" spans="1:11" s="7" customFormat="1" ht="30" customHeight="1" x14ac:dyDescent="0.2">
      <c r="B13" s="672" t="s">
        <v>523</v>
      </c>
      <c r="C13" s="672"/>
      <c r="D13" s="672"/>
      <c r="E13" s="672"/>
      <c r="F13" s="672"/>
      <c r="G13" s="672"/>
      <c r="H13" s="672"/>
      <c r="I13" s="672"/>
      <c r="J13" s="672"/>
      <c r="K13" s="672"/>
    </row>
    <row r="14" spans="1:11" s="7" customFormat="1" ht="29.25" customHeight="1" x14ac:dyDescent="0.2">
      <c r="B14" s="672" t="s">
        <v>524</v>
      </c>
      <c r="C14" s="672"/>
      <c r="D14" s="672"/>
      <c r="E14" s="672"/>
      <c r="F14" s="672"/>
      <c r="G14" s="672"/>
      <c r="H14" s="672"/>
      <c r="I14" s="672"/>
      <c r="J14" s="672"/>
      <c r="K14" s="672"/>
    </row>
    <row r="15" spans="1:11" s="7" customFormat="1" ht="23.45" customHeight="1" x14ac:dyDescent="0.2">
      <c r="B15" s="685" t="s">
        <v>525</v>
      </c>
      <c r="C15" s="685"/>
      <c r="D15" s="685"/>
      <c r="E15" s="685"/>
      <c r="F15" s="685"/>
      <c r="G15" s="685"/>
      <c r="H15" s="685"/>
      <c r="I15" s="685"/>
      <c r="J15" s="685"/>
      <c r="K15" s="685"/>
    </row>
    <row r="16" spans="1:11" s="7" customFormat="1" ht="38.25" customHeight="1" x14ac:dyDescent="0.2">
      <c r="B16" s="672" t="s">
        <v>176</v>
      </c>
      <c r="C16" s="672"/>
      <c r="D16" s="672"/>
      <c r="E16" s="673"/>
      <c r="F16" s="673"/>
      <c r="G16" s="673"/>
      <c r="H16" s="673"/>
      <c r="I16" s="673"/>
      <c r="J16" s="673"/>
      <c r="K16" s="673"/>
    </row>
    <row r="17" spans="2:11" ht="10.5" customHeight="1" x14ac:dyDescent="0.2">
      <c r="B17" s="117"/>
      <c r="C17" s="117"/>
      <c r="D17" s="117"/>
      <c r="E17" s="117"/>
      <c r="F17" s="117"/>
      <c r="G17" s="117"/>
      <c r="H17" s="117"/>
      <c r="I17" s="117"/>
      <c r="J17" s="117"/>
      <c r="K17" s="117"/>
    </row>
    <row r="18" spans="2:11" s="14" customFormat="1" ht="15.75" x14ac:dyDescent="0.25">
      <c r="B18" s="677" t="s">
        <v>177</v>
      </c>
      <c r="C18" s="684"/>
      <c r="D18" s="684"/>
      <c r="E18" s="684"/>
      <c r="F18" s="684"/>
      <c r="G18" s="684"/>
      <c r="H18" s="684"/>
      <c r="I18" s="684"/>
      <c r="J18" s="684"/>
      <c r="K18" s="684"/>
    </row>
    <row r="19" spans="2:11" ht="7.5" customHeight="1" x14ac:dyDescent="0.25">
      <c r="B19" s="88"/>
      <c r="C19" s="34"/>
      <c r="D19" s="88"/>
      <c r="E19" s="34"/>
      <c r="F19" s="88"/>
      <c r="G19" s="34"/>
      <c r="H19" s="88"/>
      <c r="I19" s="34"/>
      <c r="J19" s="88"/>
      <c r="K19" s="34"/>
    </row>
    <row r="20" spans="2:11" ht="7.5" customHeight="1" x14ac:dyDescent="0.2">
      <c r="B20" s="680"/>
      <c r="C20" s="680"/>
      <c r="D20" s="680"/>
      <c r="E20" s="680"/>
      <c r="F20" s="680"/>
      <c r="G20" s="680"/>
      <c r="H20" s="680"/>
      <c r="I20" s="680"/>
      <c r="J20" s="680"/>
      <c r="K20" s="680"/>
    </row>
    <row r="21" spans="2:11" s="49" customFormat="1" ht="15.75" customHeight="1" x14ac:dyDescent="0.2">
      <c r="B21" s="119" t="s">
        <v>2</v>
      </c>
      <c r="C21" s="675" t="s">
        <v>178</v>
      </c>
      <c r="D21" s="675"/>
      <c r="E21" s="675"/>
      <c r="F21" s="675"/>
      <c r="G21" s="675"/>
      <c r="H21" s="675"/>
      <c r="I21" s="675"/>
      <c r="J21" s="675"/>
      <c r="K21" s="675"/>
    </row>
    <row r="22" spans="2:11" s="49" customFormat="1" ht="38.25" customHeight="1" x14ac:dyDescent="0.2">
      <c r="B22" s="119" t="s">
        <v>2</v>
      </c>
      <c r="C22" s="690" t="s">
        <v>179</v>
      </c>
      <c r="D22" s="690"/>
      <c r="E22" s="690"/>
      <c r="F22" s="690"/>
      <c r="G22" s="690"/>
      <c r="H22" s="690"/>
      <c r="I22" s="690"/>
      <c r="J22" s="690"/>
      <c r="K22" s="690"/>
    </row>
    <row r="23" spans="2:11" s="39" customFormat="1" ht="63" customHeight="1" x14ac:dyDescent="0.2">
      <c r="B23" s="119" t="s">
        <v>2</v>
      </c>
      <c r="C23" s="690" t="s">
        <v>550</v>
      </c>
      <c r="D23" s="690"/>
      <c r="E23" s="690"/>
      <c r="F23" s="690"/>
      <c r="G23" s="690"/>
      <c r="H23" s="690"/>
      <c r="I23" s="690"/>
      <c r="J23" s="690"/>
      <c r="K23" s="690"/>
    </row>
    <row r="24" spans="2:11" s="49" customFormat="1" ht="42.75" customHeight="1" x14ac:dyDescent="0.2">
      <c r="B24" s="120" t="s">
        <v>2</v>
      </c>
      <c r="C24" s="689" t="s">
        <v>180</v>
      </c>
      <c r="D24" s="689"/>
      <c r="E24" s="689"/>
      <c r="F24" s="689"/>
      <c r="G24" s="689"/>
      <c r="H24" s="689"/>
      <c r="I24" s="689"/>
      <c r="J24" s="689"/>
      <c r="K24" s="689"/>
    </row>
    <row r="25" spans="2:11" s="7" customFormat="1" ht="29.25" customHeight="1" x14ac:dyDescent="0.2">
      <c r="B25" s="120" t="s">
        <v>2</v>
      </c>
      <c r="C25" s="691" t="s">
        <v>615</v>
      </c>
      <c r="D25" s="691"/>
      <c r="E25" s="691"/>
      <c r="F25" s="691"/>
      <c r="G25" s="691"/>
      <c r="H25" s="691"/>
      <c r="I25" s="691"/>
      <c r="J25" s="691"/>
      <c r="K25" s="691"/>
    </row>
    <row r="26" spans="2:11" s="49" customFormat="1" ht="40.5" customHeight="1" x14ac:dyDescent="0.2">
      <c r="B26" s="120" t="s">
        <v>2</v>
      </c>
      <c r="C26" s="695" t="s">
        <v>181</v>
      </c>
      <c r="D26" s="695"/>
      <c r="E26" s="695"/>
      <c r="F26" s="695"/>
      <c r="G26" s="695"/>
      <c r="H26" s="695"/>
      <c r="I26" s="695"/>
      <c r="J26" s="695"/>
      <c r="K26" s="695"/>
    </row>
    <row r="27" spans="2:11" s="7" customFormat="1" ht="15.75" customHeight="1" x14ac:dyDescent="0.2">
      <c r="B27" s="120" t="s">
        <v>2</v>
      </c>
      <c r="C27" s="678" t="s">
        <v>182</v>
      </c>
      <c r="D27" s="678"/>
      <c r="E27" s="678"/>
      <c r="F27" s="678"/>
      <c r="G27" s="678"/>
      <c r="H27" s="678"/>
      <c r="I27" s="678"/>
      <c r="J27" s="678"/>
      <c r="K27" s="678"/>
    </row>
    <row r="28" spans="2:11" s="49" customFormat="1" ht="15.75" customHeight="1" x14ac:dyDescent="0.2">
      <c r="B28" s="120" t="s">
        <v>2</v>
      </c>
      <c r="C28" s="697" t="s">
        <v>183</v>
      </c>
      <c r="D28" s="697"/>
      <c r="E28" s="697"/>
      <c r="F28" s="697"/>
      <c r="G28" s="697"/>
      <c r="H28" s="697"/>
      <c r="I28" s="697"/>
      <c r="J28" s="697"/>
      <c r="K28" s="697"/>
    </row>
    <row r="29" spans="2:11" s="49" customFormat="1" ht="27.75" customHeight="1" x14ac:dyDescent="0.2">
      <c r="B29" s="120" t="s">
        <v>2</v>
      </c>
      <c r="C29" s="697" t="s">
        <v>184</v>
      </c>
      <c r="D29" s="697"/>
      <c r="E29" s="697"/>
      <c r="F29" s="697"/>
      <c r="G29" s="697"/>
      <c r="H29" s="697"/>
      <c r="I29" s="697"/>
      <c r="J29" s="697"/>
      <c r="K29" s="697"/>
    </row>
    <row r="30" spans="2:11" s="7" customFormat="1" ht="10.5" customHeight="1" x14ac:dyDescent="0.2">
      <c r="B30" s="120"/>
      <c r="C30" s="678"/>
      <c r="D30" s="678"/>
      <c r="E30" s="678"/>
      <c r="F30" s="678"/>
      <c r="G30" s="678"/>
      <c r="H30" s="678"/>
      <c r="I30" s="678"/>
      <c r="J30" s="678"/>
      <c r="K30" s="678"/>
    </row>
    <row r="31" spans="2:11" s="54" customFormat="1" ht="15.75" customHeight="1" x14ac:dyDescent="0.2">
      <c r="B31" s="121" t="s">
        <v>549</v>
      </c>
      <c r="C31" s="121"/>
      <c r="D31" s="121"/>
      <c r="E31" s="122"/>
      <c r="F31" s="122"/>
      <c r="G31" s="123"/>
      <c r="H31" s="123"/>
      <c r="I31" s="123"/>
      <c r="J31" s="123"/>
      <c r="K31" s="123"/>
    </row>
    <row r="32" spans="2:11" s="40" customFormat="1" ht="2.25" customHeight="1" x14ac:dyDescent="0.2">
      <c r="B32" s="116"/>
      <c r="C32" s="115"/>
      <c r="D32" s="115"/>
      <c r="E32" s="115"/>
      <c r="F32" s="115"/>
      <c r="G32" s="115"/>
      <c r="H32" s="115"/>
      <c r="I32" s="115"/>
      <c r="J32" s="115"/>
      <c r="K32" s="115"/>
    </row>
    <row r="33" spans="2:12" s="40" customFormat="1" ht="13.5" customHeight="1" x14ac:dyDescent="0.2">
      <c r="B33" s="124" t="s">
        <v>409</v>
      </c>
      <c r="C33" s="125" t="s">
        <v>526</v>
      </c>
      <c r="D33" s="126"/>
      <c r="E33" s="126"/>
      <c r="F33" s="126"/>
      <c r="G33" s="126"/>
      <c r="H33" s="126"/>
      <c r="I33" s="126"/>
      <c r="J33" s="126"/>
      <c r="K33" s="126"/>
    </row>
    <row r="34" spans="2:12" s="40" customFormat="1" ht="15.6" customHeight="1" x14ac:dyDescent="0.2">
      <c r="B34" s="124" t="s">
        <v>409</v>
      </c>
      <c r="C34" s="125" t="s">
        <v>185</v>
      </c>
      <c r="D34" s="125"/>
      <c r="E34" s="125"/>
      <c r="F34" s="125"/>
      <c r="G34" s="125"/>
      <c r="H34" s="125"/>
      <c r="I34" s="125"/>
      <c r="J34" s="125"/>
      <c r="K34" s="125"/>
    </row>
    <row r="35" spans="2:12" s="40" customFormat="1" ht="14.25" customHeight="1" x14ac:dyDescent="0.2">
      <c r="B35" s="124" t="s">
        <v>409</v>
      </c>
      <c r="C35" s="125" t="s">
        <v>186</v>
      </c>
      <c r="D35" s="115"/>
      <c r="E35" s="115"/>
      <c r="F35" s="115"/>
      <c r="G35" s="115"/>
      <c r="H35" s="115"/>
      <c r="I35" s="115"/>
      <c r="J35" s="115"/>
      <c r="K35" s="115"/>
    </row>
    <row r="36" spans="2:12" s="40" customFormat="1" ht="30" customHeight="1" x14ac:dyDescent="0.2">
      <c r="B36" s="124" t="s">
        <v>409</v>
      </c>
      <c r="C36" s="696" t="s">
        <v>616</v>
      </c>
      <c r="D36" s="696"/>
      <c r="E36" s="696"/>
      <c r="F36" s="696"/>
      <c r="G36" s="696"/>
      <c r="H36" s="696"/>
      <c r="I36" s="696"/>
      <c r="J36" s="696"/>
      <c r="K36" s="696"/>
    </row>
    <row r="37" spans="2:12" s="34" customFormat="1" ht="9.75" customHeight="1" x14ac:dyDescent="0.2">
      <c r="B37" s="127"/>
      <c r="C37" s="128"/>
      <c r="D37" s="129"/>
      <c r="E37" s="129"/>
      <c r="F37" s="129"/>
      <c r="G37" s="129"/>
      <c r="H37" s="129"/>
      <c r="I37" s="129"/>
      <c r="J37" s="129"/>
      <c r="K37" s="129"/>
    </row>
    <row r="38" spans="2:12" s="14" customFormat="1" ht="15.75" customHeight="1" x14ac:dyDescent="0.2">
      <c r="B38" s="692" t="s">
        <v>187</v>
      </c>
      <c r="C38" s="693"/>
      <c r="D38" s="693"/>
      <c r="E38" s="693"/>
      <c r="F38" s="693"/>
      <c r="G38" s="693"/>
      <c r="H38" s="693"/>
      <c r="I38" s="693"/>
      <c r="J38" s="693"/>
      <c r="K38" s="693"/>
    </row>
    <row r="39" spans="2:12" ht="7.5" customHeight="1" x14ac:dyDescent="0.2">
      <c r="B39" s="8"/>
      <c r="C39" s="8"/>
      <c r="D39" s="130"/>
      <c r="E39" s="130"/>
      <c r="F39" s="8"/>
      <c r="G39" s="130"/>
      <c r="H39" s="130"/>
      <c r="I39" s="130"/>
      <c r="J39" s="130"/>
      <c r="K39" s="118"/>
    </row>
    <row r="40" spans="2:12" ht="24" customHeight="1" x14ac:dyDescent="0.2">
      <c r="B40" s="686" t="s">
        <v>188</v>
      </c>
      <c r="C40" s="687"/>
      <c r="D40" s="687"/>
      <c r="E40" s="687"/>
      <c r="F40" s="687"/>
      <c r="G40" s="687"/>
      <c r="H40" s="687"/>
      <c r="I40" s="687"/>
      <c r="J40" s="687"/>
      <c r="K40" s="688"/>
      <c r="L40" s="18"/>
    </row>
    <row r="41" spans="2:12" ht="90.75" customHeight="1" x14ac:dyDescent="0.2">
      <c r="B41" s="681" t="s">
        <v>528</v>
      </c>
      <c r="C41" s="682"/>
      <c r="D41" s="682"/>
      <c r="E41" s="682"/>
      <c r="F41" s="682"/>
      <c r="G41" s="682"/>
      <c r="H41" s="682"/>
      <c r="I41" s="682"/>
      <c r="J41" s="682"/>
      <c r="K41" s="683"/>
    </row>
    <row r="42" spans="2:12" ht="24" customHeight="1" x14ac:dyDescent="0.2">
      <c r="B42" s="686" t="s">
        <v>189</v>
      </c>
      <c r="C42" s="687"/>
      <c r="D42" s="687"/>
      <c r="E42" s="687"/>
      <c r="F42" s="687"/>
      <c r="G42" s="687"/>
      <c r="H42" s="687"/>
      <c r="I42" s="687"/>
      <c r="J42" s="687"/>
      <c r="K42" s="688"/>
    </row>
    <row r="43" spans="2:12" ht="101.25" customHeight="1" x14ac:dyDescent="0.2">
      <c r="B43" s="681" t="s">
        <v>529</v>
      </c>
      <c r="C43" s="682"/>
      <c r="D43" s="682"/>
      <c r="E43" s="682"/>
      <c r="F43" s="682"/>
      <c r="G43" s="682"/>
      <c r="H43" s="682"/>
      <c r="I43" s="682"/>
      <c r="J43" s="682"/>
      <c r="K43" s="683"/>
    </row>
    <row r="44" spans="2:12" ht="24" customHeight="1" x14ac:dyDescent="0.2">
      <c r="B44" s="686" t="s">
        <v>233</v>
      </c>
      <c r="C44" s="687"/>
      <c r="D44" s="687"/>
      <c r="E44" s="687"/>
      <c r="F44" s="687"/>
      <c r="G44" s="687"/>
      <c r="H44" s="687"/>
      <c r="I44" s="687"/>
      <c r="J44" s="687"/>
      <c r="K44" s="688"/>
    </row>
    <row r="45" spans="2:12" ht="66" customHeight="1" x14ac:dyDescent="0.2">
      <c r="B45" s="681" t="s">
        <v>527</v>
      </c>
      <c r="C45" s="682"/>
      <c r="D45" s="682"/>
      <c r="E45" s="682"/>
      <c r="F45" s="682"/>
      <c r="G45" s="682"/>
      <c r="H45" s="682"/>
      <c r="I45" s="682"/>
      <c r="J45" s="682"/>
      <c r="K45" s="683"/>
    </row>
    <row r="46" spans="2:12" ht="24" customHeight="1" x14ac:dyDescent="0.2">
      <c r="B46" s="686" t="s">
        <v>190</v>
      </c>
      <c r="C46" s="687"/>
      <c r="D46" s="687"/>
      <c r="E46" s="687"/>
      <c r="F46" s="687"/>
      <c r="G46" s="687"/>
      <c r="H46" s="687"/>
      <c r="I46" s="687"/>
      <c r="J46" s="687"/>
      <c r="K46" s="688"/>
    </row>
    <row r="47" spans="2:12" ht="64.5" customHeight="1" x14ac:dyDescent="0.2">
      <c r="B47" s="681" t="s">
        <v>234</v>
      </c>
      <c r="C47" s="682"/>
      <c r="D47" s="682"/>
      <c r="E47" s="682"/>
      <c r="F47" s="682"/>
      <c r="G47" s="682"/>
      <c r="H47" s="682"/>
      <c r="I47" s="682"/>
      <c r="J47" s="682"/>
      <c r="K47" s="683"/>
    </row>
    <row r="48" spans="2:12" ht="24" customHeight="1" x14ac:dyDescent="0.2">
      <c r="B48" s="686" t="s">
        <v>191</v>
      </c>
      <c r="C48" s="687"/>
      <c r="D48" s="687"/>
      <c r="E48" s="687"/>
      <c r="F48" s="687"/>
      <c r="G48" s="687"/>
      <c r="H48" s="687"/>
      <c r="I48" s="687"/>
      <c r="J48" s="687"/>
      <c r="K48" s="688"/>
    </row>
    <row r="49" spans="2:11" ht="27" customHeight="1" x14ac:dyDescent="0.2">
      <c r="B49" s="681" t="s">
        <v>192</v>
      </c>
      <c r="C49" s="682"/>
      <c r="D49" s="682"/>
      <c r="E49" s="682"/>
      <c r="F49" s="682"/>
      <c r="G49" s="682"/>
      <c r="H49" s="682"/>
      <c r="I49" s="682"/>
      <c r="J49" s="682"/>
      <c r="K49" s="683"/>
    </row>
    <row r="50" spans="2:11" s="14" customFormat="1" ht="24" customHeight="1" x14ac:dyDescent="0.2">
      <c r="B50" s="686" t="s">
        <v>193</v>
      </c>
      <c r="C50" s="687"/>
      <c r="D50" s="687"/>
      <c r="E50" s="687"/>
      <c r="F50" s="687"/>
      <c r="G50" s="687"/>
      <c r="H50" s="687"/>
      <c r="I50" s="687"/>
      <c r="J50" s="687"/>
      <c r="K50" s="688"/>
    </row>
    <row r="51" spans="2:11" ht="67.5" customHeight="1" x14ac:dyDescent="0.2">
      <c r="B51" s="681" t="s">
        <v>236</v>
      </c>
      <c r="C51" s="682"/>
      <c r="D51" s="682"/>
      <c r="E51" s="682"/>
      <c r="F51" s="682"/>
      <c r="G51" s="682"/>
      <c r="H51" s="682"/>
      <c r="I51" s="682"/>
      <c r="J51" s="682"/>
      <c r="K51" s="683"/>
    </row>
    <row r="52" spans="2:11" ht="24" customHeight="1" x14ac:dyDescent="0.2">
      <c r="B52" s="115"/>
      <c r="C52" s="115"/>
      <c r="D52" s="115"/>
      <c r="E52" s="115"/>
      <c r="F52" s="115"/>
      <c r="G52" s="115"/>
      <c r="H52" s="115"/>
      <c r="I52" s="115"/>
      <c r="J52" s="115"/>
      <c r="K52" s="115"/>
    </row>
    <row r="53" spans="2:11" ht="15.75" customHeight="1" x14ac:dyDescent="0.25">
      <c r="B53" s="694" t="s">
        <v>194</v>
      </c>
      <c r="C53" s="694"/>
      <c r="D53" s="694"/>
      <c r="E53" s="694"/>
      <c r="F53" s="694"/>
      <c r="G53" s="694"/>
      <c r="H53" s="694"/>
      <c r="I53" s="694"/>
      <c r="J53" s="694"/>
      <c r="K53" s="694"/>
    </row>
    <row r="54" spans="2:11" ht="16.5" customHeight="1" x14ac:dyDescent="0.2">
      <c r="B54" s="7"/>
      <c r="C54" s="7"/>
      <c r="D54" s="7"/>
      <c r="E54" s="7"/>
      <c r="F54" s="7"/>
      <c r="G54" s="7"/>
      <c r="H54" s="7"/>
      <c r="I54" s="7"/>
      <c r="J54" s="7"/>
      <c r="K54" s="7"/>
    </row>
    <row r="55" spans="2:11" ht="23.25" customHeight="1" x14ac:dyDescent="0.2">
      <c r="B55" s="7"/>
      <c r="C55" s="131" t="s">
        <v>195</v>
      </c>
      <c r="D55" s="131" t="s">
        <v>196</v>
      </c>
      <c r="E55" s="131" t="s">
        <v>197</v>
      </c>
      <c r="F55" s="7"/>
      <c r="G55" s="7"/>
      <c r="H55" s="7"/>
      <c r="I55" s="7"/>
      <c r="J55" s="7"/>
      <c r="K55" s="7"/>
    </row>
    <row r="56" spans="2:11" s="7" customFormat="1" ht="16.5" customHeight="1" x14ac:dyDescent="0.2">
      <c r="C56" s="132" t="s">
        <v>198</v>
      </c>
      <c r="D56" s="132" t="s">
        <v>199</v>
      </c>
      <c r="E56" s="132">
        <v>4.5460900000000004</v>
      </c>
    </row>
    <row r="57" spans="2:11" x14ac:dyDescent="0.2">
      <c r="B57" s="7"/>
      <c r="C57" s="132" t="s">
        <v>200</v>
      </c>
      <c r="D57" s="132" t="s">
        <v>199</v>
      </c>
      <c r="E57" s="132">
        <v>3.7854117839999999</v>
      </c>
      <c r="F57" s="7"/>
      <c r="G57" s="7"/>
      <c r="H57" s="7"/>
      <c r="I57" s="7"/>
      <c r="J57" s="7"/>
      <c r="K57" s="7"/>
    </row>
    <row r="58" spans="2:11" x14ac:dyDescent="0.2">
      <c r="B58" s="7"/>
      <c r="C58" s="133" t="s">
        <v>201</v>
      </c>
      <c r="D58" s="132" t="s">
        <v>199</v>
      </c>
      <c r="E58" s="132">
        <v>1000</v>
      </c>
      <c r="F58" s="7"/>
      <c r="G58" s="7"/>
      <c r="H58" s="7"/>
      <c r="I58" s="7"/>
      <c r="J58" s="7"/>
      <c r="K58" s="7"/>
    </row>
    <row r="59" spans="2:11" x14ac:dyDescent="0.2">
      <c r="B59" s="7"/>
      <c r="C59" s="133" t="s">
        <v>199</v>
      </c>
      <c r="D59" s="134" t="s">
        <v>201</v>
      </c>
      <c r="E59" s="132">
        <v>1E-3</v>
      </c>
      <c r="F59" s="7"/>
      <c r="G59" s="7"/>
      <c r="H59" s="7"/>
      <c r="I59" s="7"/>
      <c r="J59" s="7"/>
      <c r="K59" s="7"/>
    </row>
    <row r="60" spans="2:11" x14ac:dyDescent="0.2">
      <c r="B60" s="7"/>
      <c r="C60" s="133" t="s">
        <v>202</v>
      </c>
      <c r="D60" s="132" t="s">
        <v>199</v>
      </c>
      <c r="E60" s="132">
        <v>1E-3</v>
      </c>
      <c r="F60" s="7"/>
      <c r="G60" s="7"/>
      <c r="H60" s="7"/>
      <c r="I60" s="7"/>
      <c r="J60" s="7"/>
      <c r="K60" s="7"/>
    </row>
  </sheetData>
  <sheetProtection sheet="1"/>
  <mergeCells count="39">
    <mergeCell ref="C25:K25"/>
    <mergeCell ref="C22:K22"/>
    <mergeCell ref="B38:K38"/>
    <mergeCell ref="B43:K43"/>
    <mergeCell ref="B53:K53"/>
    <mergeCell ref="C26:K26"/>
    <mergeCell ref="B44:K44"/>
    <mergeCell ref="B46:K46"/>
    <mergeCell ref="B42:K42"/>
    <mergeCell ref="C36:K36"/>
    <mergeCell ref="B40:K40"/>
    <mergeCell ref="C28:K28"/>
    <mergeCell ref="C29:K29"/>
    <mergeCell ref="B20:K20"/>
    <mergeCell ref="B51:K51"/>
    <mergeCell ref="B41:K41"/>
    <mergeCell ref="C27:K27"/>
    <mergeCell ref="B13:K13"/>
    <mergeCell ref="B18:K18"/>
    <mergeCell ref="B15:K15"/>
    <mergeCell ref="C30:K30"/>
    <mergeCell ref="B45:K45"/>
    <mergeCell ref="B47:K47"/>
    <mergeCell ref="B50:K50"/>
    <mergeCell ref="B49:K49"/>
    <mergeCell ref="B48:K48"/>
    <mergeCell ref="C24:K24"/>
    <mergeCell ref="C21:K21"/>
    <mergeCell ref="C23:K23"/>
    <mergeCell ref="B16:K16"/>
    <mergeCell ref="B8:K8"/>
    <mergeCell ref="B9:K9"/>
    <mergeCell ref="B3:K3"/>
    <mergeCell ref="B12:K12"/>
    <mergeCell ref="B14:K14"/>
    <mergeCell ref="B5:K5"/>
    <mergeCell ref="B7:K7"/>
    <mergeCell ref="B10:K10"/>
    <mergeCell ref="B11:K11"/>
  </mergeCells>
  <phoneticPr fontId="8" type="noConversion"/>
  <printOptions horizontalCentered="1"/>
  <pageMargins left="0.56000000000000005" right="0.4" top="0.65" bottom="0.984251969" header="0.43" footer="0.5"/>
  <pageSetup paperSize="9" scale="75" orientation="landscape" r:id="rId1"/>
  <headerFooter alignWithMargins="0">
    <oddFooter>&amp;C&amp;"Arial,Normal"&amp;8Questionnaire UNSD/PNUE 2013 sur les Statistiques de l'environnement -Section d'eau - p.&amp;P</oddFooter>
  </headerFooter>
  <rowBreaks count="3" manualBreakCount="3">
    <brk id="17" max="16383" man="1"/>
    <brk id="37"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zoomScaleSheetLayoutView="100" workbookViewId="0"/>
  </sheetViews>
  <sheetFormatPr defaultColWidth="9.33203125" defaultRowHeight="12.75" x14ac:dyDescent="0.2"/>
  <cols>
    <col min="1" max="1" width="3.33203125" style="2" customWidth="1"/>
    <col min="2" max="2" width="11.83203125" style="17" customWidth="1"/>
    <col min="3" max="3" width="33.83203125" style="13" customWidth="1"/>
    <col min="4" max="4" width="121" style="13" customWidth="1"/>
    <col min="5" max="5" width="5.5" style="98" customWidth="1"/>
    <col min="6" max="6" width="5.5" style="99" customWidth="1"/>
    <col min="7" max="7" width="9.33203125" style="99"/>
    <col min="8" max="10" width="9.33203125" style="2"/>
    <col min="11" max="11" width="20.5" style="2" customWidth="1"/>
    <col min="12" max="16384" width="9.33203125" style="2"/>
  </cols>
  <sheetData>
    <row r="1" spans="2:7" ht="15.75" x14ac:dyDescent="0.25">
      <c r="B1" s="23" t="s">
        <v>171</v>
      </c>
    </row>
    <row r="2" spans="2:7" ht="7.5" customHeight="1" x14ac:dyDescent="0.2"/>
    <row r="3" spans="2:7" ht="18" x14ac:dyDescent="0.25">
      <c r="B3" s="698" t="s">
        <v>203</v>
      </c>
      <c r="C3" s="698"/>
      <c r="D3" s="698"/>
    </row>
    <row r="4" spans="2:7" ht="12.75" customHeight="1" x14ac:dyDescent="0.2">
      <c r="B4" s="97"/>
      <c r="C4" s="135"/>
      <c r="D4" s="136"/>
    </row>
    <row r="5" spans="2:7" ht="15.75" x14ac:dyDescent="0.2">
      <c r="B5" s="699" t="s">
        <v>357</v>
      </c>
      <c r="C5" s="699"/>
      <c r="D5" s="699"/>
    </row>
    <row r="6" spans="2:7" s="8" customFormat="1" ht="40.5" customHeight="1" thickBot="1" x14ac:dyDescent="0.25">
      <c r="B6" s="701" t="s">
        <v>612</v>
      </c>
      <c r="C6" s="702"/>
      <c r="D6" s="702"/>
      <c r="E6" s="98"/>
      <c r="F6" s="99"/>
      <c r="G6" s="99"/>
    </row>
    <row r="7" spans="2:7" ht="40.5" customHeight="1" x14ac:dyDescent="0.2">
      <c r="B7" s="137" t="s">
        <v>204</v>
      </c>
      <c r="C7" s="138" t="s">
        <v>608</v>
      </c>
      <c r="D7" s="139" t="s">
        <v>205</v>
      </c>
    </row>
    <row r="8" spans="2:7" s="8" customFormat="1" ht="40.5" customHeight="1" x14ac:dyDescent="0.2">
      <c r="B8" s="141" t="s">
        <v>407</v>
      </c>
      <c r="C8" s="149" t="s">
        <v>206</v>
      </c>
      <c r="D8" s="166" t="s">
        <v>531</v>
      </c>
      <c r="E8" s="100"/>
      <c r="F8" s="99"/>
      <c r="G8" s="99"/>
    </row>
    <row r="9" spans="2:7" s="8" customFormat="1" ht="117" customHeight="1" x14ac:dyDescent="0.2">
      <c r="B9" s="141" t="s">
        <v>488</v>
      </c>
      <c r="C9" s="149" t="s">
        <v>207</v>
      </c>
      <c r="D9" s="166" t="s">
        <v>530</v>
      </c>
      <c r="E9" s="100"/>
      <c r="F9" s="99"/>
      <c r="G9" s="99"/>
    </row>
    <row r="10" spans="2:7" s="8" customFormat="1" ht="67.5" customHeight="1" x14ac:dyDescent="0.2">
      <c r="B10" s="164" t="s">
        <v>462</v>
      </c>
      <c r="C10" s="167" t="s">
        <v>265</v>
      </c>
      <c r="D10" s="172" t="s">
        <v>339</v>
      </c>
      <c r="E10" s="100"/>
      <c r="F10" s="99"/>
      <c r="G10" s="99"/>
    </row>
    <row r="11" spans="2:7" s="8" customFormat="1" ht="66.75" customHeight="1" x14ac:dyDescent="0.2">
      <c r="B11" s="141" t="s">
        <v>406</v>
      </c>
      <c r="C11" s="149" t="s">
        <v>266</v>
      </c>
      <c r="D11" s="157" t="s">
        <v>336</v>
      </c>
      <c r="E11" s="100"/>
      <c r="F11" s="99"/>
      <c r="G11" s="99"/>
    </row>
    <row r="12" spans="2:7" s="8" customFormat="1" ht="16.5" customHeight="1" thickBot="1" x14ac:dyDescent="0.25">
      <c r="B12" s="142" t="s">
        <v>496</v>
      </c>
      <c r="C12" s="160" t="s">
        <v>208</v>
      </c>
      <c r="D12" s="165" t="s">
        <v>235</v>
      </c>
      <c r="E12" s="100"/>
      <c r="F12" s="99"/>
      <c r="G12" s="99"/>
    </row>
    <row r="13" spans="2:7" ht="21.75" customHeight="1" x14ac:dyDescent="0.2">
      <c r="B13" s="140"/>
      <c r="C13" s="135"/>
      <c r="D13" s="136"/>
    </row>
    <row r="14" spans="2:7" ht="18" customHeight="1" thickBot="1" x14ac:dyDescent="0.25">
      <c r="B14" s="700" t="s">
        <v>172</v>
      </c>
      <c r="C14" s="700"/>
      <c r="D14" s="700"/>
    </row>
    <row r="15" spans="2:7" ht="32.25" customHeight="1" x14ac:dyDescent="0.2">
      <c r="B15" s="143" t="s">
        <v>209</v>
      </c>
      <c r="C15" s="150" t="s">
        <v>210</v>
      </c>
      <c r="D15" s="151" t="s">
        <v>211</v>
      </c>
      <c r="E15" s="98" t="s">
        <v>489</v>
      </c>
      <c r="G15" s="99" t="s">
        <v>491</v>
      </c>
    </row>
    <row r="16" spans="2:7" ht="30.75" customHeight="1" x14ac:dyDescent="0.2">
      <c r="B16" s="144" t="s">
        <v>425</v>
      </c>
      <c r="C16" s="149" t="s">
        <v>212</v>
      </c>
      <c r="D16" s="156" t="s">
        <v>213</v>
      </c>
      <c r="E16" s="98">
        <v>1</v>
      </c>
      <c r="G16" s="99">
        <v>7</v>
      </c>
    </row>
    <row r="17" spans="1:7" ht="66.75" customHeight="1" x14ac:dyDescent="0.2">
      <c r="B17" s="144" t="s">
        <v>426</v>
      </c>
      <c r="C17" s="149" t="s">
        <v>214</v>
      </c>
      <c r="D17" s="157" t="s">
        <v>215</v>
      </c>
      <c r="E17" s="98">
        <v>2</v>
      </c>
      <c r="G17" s="99">
        <v>28</v>
      </c>
    </row>
    <row r="18" spans="1:7" ht="69" customHeight="1" x14ac:dyDescent="0.2">
      <c r="B18" s="144" t="s">
        <v>427</v>
      </c>
      <c r="C18" s="149" t="s">
        <v>216</v>
      </c>
      <c r="D18" s="156" t="s">
        <v>505</v>
      </c>
      <c r="E18" s="98">
        <v>3</v>
      </c>
      <c r="G18" s="99">
        <v>26</v>
      </c>
    </row>
    <row r="19" spans="1:7" ht="39" customHeight="1" x14ac:dyDescent="0.2">
      <c r="B19" s="144" t="s">
        <v>428</v>
      </c>
      <c r="C19" s="149" t="s">
        <v>217</v>
      </c>
      <c r="D19" s="156" t="s">
        <v>218</v>
      </c>
      <c r="E19" s="98">
        <v>4</v>
      </c>
      <c r="G19" s="99">
        <v>19</v>
      </c>
    </row>
    <row r="20" spans="1:7" ht="27" customHeight="1" x14ac:dyDescent="0.2">
      <c r="B20" s="144" t="s">
        <v>429</v>
      </c>
      <c r="C20" s="149" t="s">
        <v>173</v>
      </c>
      <c r="D20" s="157" t="s">
        <v>219</v>
      </c>
      <c r="E20" s="98">
        <v>5</v>
      </c>
      <c r="G20" s="99">
        <v>20</v>
      </c>
    </row>
    <row r="21" spans="1:7" ht="40.5" customHeight="1" x14ac:dyDescent="0.2">
      <c r="B21" s="144" t="s">
        <v>430</v>
      </c>
      <c r="C21" s="149" t="s">
        <v>220</v>
      </c>
      <c r="D21" s="156" t="s">
        <v>221</v>
      </c>
      <c r="E21" s="98">
        <v>6</v>
      </c>
      <c r="G21" s="99">
        <v>21</v>
      </c>
    </row>
    <row r="22" spans="1:7" ht="28.5" customHeight="1" x14ac:dyDescent="0.2">
      <c r="B22" s="144" t="s">
        <v>437</v>
      </c>
      <c r="C22" s="149" t="s">
        <v>506</v>
      </c>
      <c r="D22" s="156" t="s">
        <v>222</v>
      </c>
    </row>
    <row r="23" spans="1:7" ht="26.25" customHeight="1" x14ac:dyDescent="0.2">
      <c r="B23" s="144" t="s">
        <v>438</v>
      </c>
      <c r="C23" s="149" t="s">
        <v>507</v>
      </c>
      <c r="D23" s="156" t="s">
        <v>508</v>
      </c>
    </row>
    <row r="24" spans="1:7" ht="42" customHeight="1" x14ac:dyDescent="0.2">
      <c r="B24" s="144" t="s">
        <v>502</v>
      </c>
      <c r="C24" s="149" t="s">
        <v>223</v>
      </c>
      <c r="D24" s="156" t="s">
        <v>224</v>
      </c>
      <c r="E24" s="98">
        <v>6</v>
      </c>
      <c r="G24" s="99">
        <v>21</v>
      </c>
    </row>
    <row r="25" spans="1:7" ht="27.75" customHeight="1" x14ac:dyDescent="0.2">
      <c r="B25" s="144" t="s">
        <v>463</v>
      </c>
      <c r="C25" s="149" t="s">
        <v>225</v>
      </c>
      <c r="D25" s="156" t="s">
        <v>226</v>
      </c>
      <c r="E25" s="98">
        <v>8</v>
      </c>
      <c r="G25" s="99">
        <v>47</v>
      </c>
    </row>
    <row r="26" spans="1:7" ht="95.25" customHeight="1" x14ac:dyDescent="0.2">
      <c r="A26" s="8"/>
      <c r="B26" s="144" t="s">
        <v>469</v>
      </c>
      <c r="C26" s="149" t="s">
        <v>227</v>
      </c>
      <c r="D26" s="158" t="s">
        <v>611</v>
      </c>
      <c r="E26" s="98">
        <v>22</v>
      </c>
      <c r="G26" s="99" t="s">
        <v>492</v>
      </c>
    </row>
    <row r="27" spans="1:7" s="8" customFormat="1" ht="78.75" customHeight="1" x14ac:dyDescent="0.2">
      <c r="B27" s="144" t="s">
        <v>469</v>
      </c>
      <c r="C27" s="149" t="s">
        <v>228</v>
      </c>
      <c r="D27" s="158" t="s">
        <v>237</v>
      </c>
      <c r="E27" s="98"/>
      <c r="F27" s="99"/>
      <c r="G27" s="99"/>
    </row>
    <row r="28" spans="1:7" ht="27" customHeight="1" x14ac:dyDescent="0.2">
      <c r="B28" s="145" t="s">
        <v>503</v>
      </c>
      <c r="C28" s="149" t="s">
        <v>238</v>
      </c>
      <c r="D28" s="158" t="s">
        <v>551</v>
      </c>
      <c r="E28" s="98">
        <v>9</v>
      </c>
    </row>
    <row r="29" spans="1:7" s="8" customFormat="1" ht="30" customHeight="1" x14ac:dyDescent="0.2">
      <c r="B29" s="144" t="s">
        <v>431</v>
      </c>
      <c r="C29" s="149" t="s">
        <v>509</v>
      </c>
      <c r="D29" s="158" t="s">
        <v>239</v>
      </c>
      <c r="E29" s="98"/>
      <c r="F29" s="99"/>
      <c r="G29" s="99"/>
    </row>
    <row r="30" spans="1:7" s="8" customFormat="1" ht="67.5" customHeight="1" x14ac:dyDescent="0.2">
      <c r="B30" s="144" t="s">
        <v>504</v>
      </c>
      <c r="C30" s="149" t="s">
        <v>510</v>
      </c>
      <c r="D30" s="158" t="s">
        <v>343</v>
      </c>
      <c r="E30" s="98"/>
      <c r="F30" s="99"/>
      <c r="G30" s="99"/>
    </row>
    <row r="31" spans="1:7" s="8" customFormat="1" ht="78" customHeight="1" x14ac:dyDescent="0.2">
      <c r="B31" s="145" t="s">
        <v>558</v>
      </c>
      <c r="C31" s="163" t="s">
        <v>240</v>
      </c>
      <c r="D31" s="157" t="s">
        <v>344</v>
      </c>
      <c r="E31" s="98">
        <v>25</v>
      </c>
      <c r="F31" s="99"/>
      <c r="G31" s="99"/>
    </row>
    <row r="32" spans="1:7" s="8" customFormat="1" ht="30" customHeight="1" x14ac:dyDescent="0.2">
      <c r="B32" s="145" t="s">
        <v>596</v>
      </c>
      <c r="C32" s="163" t="s">
        <v>241</v>
      </c>
      <c r="D32" s="157" t="s">
        <v>242</v>
      </c>
      <c r="E32" s="98"/>
      <c r="F32" s="99"/>
      <c r="G32" s="99"/>
    </row>
    <row r="33" spans="1:7" s="8" customFormat="1" ht="51.75" customHeight="1" x14ac:dyDescent="0.2">
      <c r="B33" s="145" t="s">
        <v>597</v>
      </c>
      <c r="C33" s="163" t="s">
        <v>345</v>
      </c>
      <c r="D33" s="157" t="s">
        <v>133</v>
      </c>
      <c r="E33" s="98"/>
      <c r="F33" s="99"/>
      <c r="G33" s="99"/>
    </row>
    <row r="34" spans="1:7" s="8" customFormat="1" ht="40.5" customHeight="1" x14ac:dyDescent="0.2">
      <c r="B34" s="145" t="s">
        <v>598</v>
      </c>
      <c r="C34" s="163" t="s">
        <v>346</v>
      </c>
      <c r="D34" s="157" t="s">
        <v>134</v>
      </c>
      <c r="E34" s="98"/>
      <c r="F34" s="99"/>
      <c r="G34" s="99"/>
    </row>
    <row r="35" spans="1:7" s="8" customFormat="1" ht="52.5" customHeight="1" x14ac:dyDescent="0.2">
      <c r="B35" s="145" t="s">
        <v>559</v>
      </c>
      <c r="C35" s="163" t="s">
        <v>347</v>
      </c>
      <c r="D35" s="157" t="s">
        <v>135</v>
      </c>
      <c r="E35" s="98">
        <v>51</v>
      </c>
      <c r="F35" s="99"/>
      <c r="G35" s="99"/>
    </row>
    <row r="36" spans="1:7" s="8" customFormat="1" ht="39.75" customHeight="1" x14ac:dyDescent="0.2">
      <c r="B36" s="144" t="s">
        <v>433</v>
      </c>
      <c r="C36" s="163" t="s">
        <v>243</v>
      </c>
      <c r="D36" s="157" t="s">
        <v>136</v>
      </c>
      <c r="E36" s="98"/>
      <c r="F36" s="99"/>
      <c r="G36" s="99"/>
    </row>
    <row r="37" spans="1:7" ht="15.75" customHeight="1" x14ac:dyDescent="0.2">
      <c r="B37" s="145" t="s">
        <v>570</v>
      </c>
      <c r="C37" s="149" t="s">
        <v>244</v>
      </c>
      <c r="D37" s="157" t="s">
        <v>245</v>
      </c>
      <c r="E37" s="98">
        <v>12</v>
      </c>
    </row>
    <row r="38" spans="1:7" ht="39" customHeight="1" x14ac:dyDescent="0.2">
      <c r="B38" s="145" t="s">
        <v>571</v>
      </c>
      <c r="C38" s="149" t="s">
        <v>246</v>
      </c>
      <c r="D38" s="157" t="s">
        <v>247</v>
      </c>
      <c r="E38" s="98">
        <v>13</v>
      </c>
    </row>
    <row r="39" spans="1:7" ht="31.5" customHeight="1" x14ac:dyDescent="0.2">
      <c r="B39" s="145" t="s">
        <v>572</v>
      </c>
      <c r="C39" s="149" t="s">
        <v>511</v>
      </c>
      <c r="D39" s="157" t="s">
        <v>248</v>
      </c>
      <c r="E39" s="98">
        <v>14</v>
      </c>
    </row>
    <row r="40" spans="1:7" ht="30.75" customHeight="1" x14ac:dyDescent="0.2">
      <c r="B40" s="145" t="s">
        <v>573</v>
      </c>
      <c r="C40" s="149" t="s">
        <v>249</v>
      </c>
      <c r="D40" s="157" t="s">
        <v>250</v>
      </c>
      <c r="E40" s="98">
        <v>15</v>
      </c>
    </row>
    <row r="41" spans="1:7" ht="27" customHeight="1" x14ac:dyDescent="0.2">
      <c r="B41" s="145" t="s">
        <v>574</v>
      </c>
      <c r="C41" s="149" t="s">
        <v>251</v>
      </c>
      <c r="D41" s="159" t="s">
        <v>252</v>
      </c>
      <c r="E41" s="98">
        <v>16</v>
      </c>
    </row>
    <row r="42" spans="1:7" ht="27.75" customHeight="1" x14ac:dyDescent="0.2">
      <c r="B42" s="145" t="s">
        <v>575</v>
      </c>
      <c r="C42" s="149" t="s">
        <v>253</v>
      </c>
      <c r="D42" s="157" t="s">
        <v>254</v>
      </c>
      <c r="E42" s="98">
        <v>17</v>
      </c>
    </row>
    <row r="43" spans="1:7" ht="52.5" customHeight="1" x14ac:dyDescent="0.2">
      <c r="B43" s="145" t="s">
        <v>576</v>
      </c>
      <c r="C43" s="149" t="s">
        <v>255</v>
      </c>
      <c r="D43" s="157" t="s">
        <v>512</v>
      </c>
      <c r="E43" s="98">
        <v>31</v>
      </c>
    </row>
    <row r="44" spans="1:7" ht="39.75" customHeight="1" x14ac:dyDescent="0.2">
      <c r="B44" s="145" t="s">
        <v>577</v>
      </c>
      <c r="C44" s="163" t="s">
        <v>256</v>
      </c>
      <c r="D44" s="157" t="s">
        <v>257</v>
      </c>
      <c r="E44" s="98">
        <v>52</v>
      </c>
    </row>
    <row r="45" spans="1:7" ht="39.75" customHeight="1" x14ac:dyDescent="0.2">
      <c r="B45" s="146" t="s">
        <v>497</v>
      </c>
      <c r="C45" s="173" t="s">
        <v>349</v>
      </c>
      <c r="D45" s="168" t="s">
        <v>258</v>
      </c>
    </row>
    <row r="46" spans="1:7" s="8" customFormat="1" ht="15.75" customHeight="1" x14ac:dyDescent="0.2">
      <c r="A46" s="2"/>
      <c r="B46" s="147" t="s">
        <v>578</v>
      </c>
      <c r="C46" s="161" t="s">
        <v>259</v>
      </c>
      <c r="D46" s="169" t="s">
        <v>137</v>
      </c>
      <c r="E46" s="98">
        <v>32</v>
      </c>
      <c r="F46" s="99"/>
      <c r="G46" s="99"/>
    </row>
    <row r="47" spans="1:7" s="8" customFormat="1" ht="40.5" customHeight="1" x14ac:dyDescent="0.2">
      <c r="A47" s="2"/>
      <c r="B47" s="147" t="s">
        <v>498</v>
      </c>
      <c r="C47" s="170" t="s">
        <v>350</v>
      </c>
      <c r="D47" s="157" t="s">
        <v>337</v>
      </c>
      <c r="E47" s="98"/>
      <c r="F47" s="99"/>
      <c r="G47" s="99"/>
    </row>
    <row r="48" spans="1:7" s="8" customFormat="1" ht="41.25" customHeight="1" x14ac:dyDescent="0.2">
      <c r="A48" s="2"/>
      <c r="B48" s="147" t="s">
        <v>499</v>
      </c>
      <c r="C48" s="170" t="s">
        <v>351</v>
      </c>
      <c r="D48" s="157" t="s">
        <v>260</v>
      </c>
      <c r="E48" s="98"/>
      <c r="F48" s="99"/>
      <c r="G48" s="99"/>
    </row>
    <row r="49" spans="1:7" s="8" customFormat="1" ht="26.25" customHeight="1" x14ac:dyDescent="0.2">
      <c r="A49" s="2"/>
      <c r="B49" s="144" t="s">
        <v>434</v>
      </c>
      <c r="C49" s="163" t="s">
        <v>261</v>
      </c>
      <c r="D49" s="157" t="s">
        <v>262</v>
      </c>
      <c r="E49" s="98"/>
      <c r="F49" s="99"/>
      <c r="G49" s="99"/>
    </row>
    <row r="50" spans="1:7" ht="40.5" customHeight="1" x14ac:dyDescent="0.2">
      <c r="A50" s="8"/>
      <c r="B50" s="145" t="s">
        <v>579</v>
      </c>
      <c r="C50" s="149" t="s">
        <v>263</v>
      </c>
      <c r="D50" s="157" t="s">
        <v>358</v>
      </c>
    </row>
    <row r="51" spans="1:7" s="8" customFormat="1" ht="43.5" customHeight="1" x14ac:dyDescent="0.2">
      <c r="B51" s="145" t="s">
        <v>580</v>
      </c>
      <c r="C51" s="149" t="s">
        <v>264</v>
      </c>
      <c r="D51" s="157" t="s">
        <v>267</v>
      </c>
      <c r="E51" s="98">
        <v>30</v>
      </c>
      <c r="F51" s="99"/>
      <c r="G51" s="99"/>
    </row>
    <row r="52" spans="1:7" s="8" customFormat="1" ht="41.25" customHeight="1" x14ac:dyDescent="0.2">
      <c r="B52" s="145" t="s">
        <v>555</v>
      </c>
      <c r="C52" s="149" t="s">
        <v>268</v>
      </c>
      <c r="D52" s="157" t="s">
        <v>269</v>
      </c>
      <c r="E52" s="98">
        <v>29</v>
      </c>
      <c r="F52" s="99"/>
      <c r="G52" s="99"/>
    </row>
    <row r="53" spans="1:7" s="8" customFormat="1" ht="41.25" customHeight="1" x14ac:dyDescent="0.2">
      <c r="B53" s="145" t="s">
        <v>556</v>
      </c>
      <c r="C53" s="149" t="s">
        <v>270</v>
      </c>
      <c r="D53" s="157" t="s">
        <v>271</v>
      </c>
      <c r="E53" s="98"/>
      <c r="F53" s="99"/>
      <c r="G53" s="99"/>
    </row>
    <row r="54" spans="1:7" s="8" customFormat="1" ht="41.25" customHeight="1" x14ac:dyDescent="0.2">
      <c r="B54" s="145" t="s">
        <v>557</v>
      </c>
      <c r="C54" s="149" t="s">
        <v>273</v>
      </c>
      <c r="D54" s="157" t="s">
        <v>272</v>
      </c>
      <c r="E54" s="98"/>
      <c r="F54" s="99"/>
      <c r="G54" s="99"/>
    </row>
    <row r="55" spans="1:7" s="8" customFormat="1" ht="64.5" customHeight="1" x14ac:dyDescent="0.2">
      <c r="B55" s="145" t="s">
        <v>585</v>
      </c>
      <c r="C55" s="149" t="s">
        <v>513</v>
      </c>
      <c r="D55" s="158" t="s">
        <v>338</v>
      </c>
      <c r="E55" s="98">
        <v>18</v>
      </c>
      <c r="F55" s="99"/>
      <c r="G55" s="99"/>
    </row>
    <row r="56" spans="1:7" s="8" customFormat="1" ht="25.5" x14ac:dyDescent="0.2">
      <c r="B56" s="145" t="s">
        <v>423</v>
      </c>
      <c r="C56" s="163" t="s">
        <v>276</v>
      </c>
      <c r="D56" s="158" t="s">
        <v>138</v>
      </c>
      <c r="E56" s="98"/>
      <c r="F56" s="99"/>
      <c r="G56" s="99"/>
    </row>
    <row r="57" spans="1:7" s="8" customFormat="1" ht="54.75" customHeight="1" x14ac:dyDescent="0.2">
      <c r="A57" s="2"/>
      <c r="B57" s="145" t="s">
        <v>373</v>
      </c>
      <c r="C57" s="149" t="s">
        <v>277</v>
      </c>
      <c r="D57" s="157" t="s">
        <v>278</v>
      </c>
      <c r="E57" s="98"/>
      <c r="F57" s="99"/>
      <c r="G57" s="99"/>
    </row>
    <row r="58" spans="1:7" s="8" customFormat="1" ht="54" customHeight="1" x14ac:dyDescent="0.2">
      <c r="A58" s="2"/>
      <c r="B58" s="145" t="s">
        <v>374</v>
      </c>
      <c r="C58" s="149" t="s">
        <v>279</v>
      </c>
      <c r="D58" s="157" t="s">
        <v>514</v>
      </c>
      <c r="E58" s="98"/>
      <c r="F58" s="99"/>
      <c r="G58" s="99"/>
    </row>
    <row r="59" spans="1:7" s="8" customFormat="1" ht="58.5" customHeight="1" x14ac:dyDescent="0.2">
      <c r="A59" s="2"/>
      <c r="B59" s="145" t="s">
        <v>375</v>
      </c>
      <c r="C59" s="149" t="s">
        <v>280</v>
      </c>
      <c r="D59" s="157" t="s">
        <v>282</v>
      </c>
      <c r="E59" s="98">
        <v>34</v>
      </c>
      <c r="F59" s="99"/>
      <c r="G59" s="99"/>
    </row>
    <row r="60" spans="1:7" ht="57" customHeight="1" x14ac:dyDescent="0.2">
      <c r="B60" s="145" t="s">
        <v>376</v>
      </c>
      <c r="C60" s="149" t="s">
        <v>281</v>
      </c>
      <c r="D60" s="157" t="s">
        <v>283</v>
      </c>
      <c r="E60" s="98">
        <v>35</v>
      </c>
    </row>
    <row r="61" spans="1:7" ht="80.25" customHeight="1" x14ac:dyDescent="0.2">
      <c r="B61" s="145" t="s">
        <v>377</v>
      </c>
      <c r="C61" s="149" t="s">
        <v>284</v>
      </c>
      <c r="D61" s="157" t="s">
        <v>594</v>
      </c>
      <c r="E61" s="98">
        <v>53</v>
      </c>
    </row>
    <row r="62" spans="1:7" ht="51.75" customHeight="1" x14ac:dyDescent="0.2">
      <c r="A62" s="104"/>
      <c r="B62" s="145" t="s">
        <v>378</v>
      </c>
      <c r="C62" s="149" t="s">
        <v>285</v>
      </c>
      <c r="D62" s="158" t="s">
        <v>515</v>
      </c>
      <c r="E62" s="98">
        <v>36</v>
      </c>
    </row>
    <row r="63" spans="1:7" s="16" customFormat="1" ht="38.25" x14ac:dyDescent="0.2">
      <c r="A63" s="2"/>
      <c r="B63" s="145" t="s">
        <v>593</v>
      </c>
      <c r="C63" s="149" t="s">
        <v>286</v>
      </c>
      <c r="D63" s="157" t="s">
        <v>287</v>
      </c>
      <c r="E63" s="98">
        <v>42</v>
      </c>
      <c r="F63" s="101"/>
      <c r="G63" s="101"/>
    </row>
    <row r="64" spans="1:7" ht="38.25" customHeight="1" x14ac:dyDescent="0.2">
      <c r="B64" s="145" t="s">
        <v>581</v>
      </c>
      <c r="C64" s="149" t="s">
        <v>288</v>
      </c>
      <c r="D64" s="157" t="s">
        <v>516</v>
      </c>
      <c r="E64" s="98">
        <v>43</v>
      </c>
    </row>
    <row r="65" spans="1:16" ht="40.5" customHeight="1" x14ac:dyDescent="0.2">
      <c r="A65" s="8"/>
      <c r="B65" s="145" t="s">
        <v>582</v>
      </c>
      <c r="C65" s="149" t="s">
        <v>229</v>
      </c>
      <c r="D65" s="157" t="s">
        <v>517</v>
      </c>
      <c r="E65" s="98">
        <v>44</v>
      </c>
    </row>
    <row r="66" spans="1:16" ht="53.25" customHeight="1" x14ac:dyDescent="0.2">
      <c r="A66" s="8"/>
      <c r="B66" s="145" t="s">
        <v>583</v>
      </c>
      <c r="C66" s="149" t="s">
        <v>289</v>
      </c>
      <c r="D66" s="157" t="s">
        <v>290</v>
      </c>
      <c r="E66" s="98">
        <v>45</v>
      </c>
    </row>
    <row r="67" spans="1:16" s="8" customFormat="1" ht="42.75" customHeight="1" x14ac:dyDescent="0.2">
      <c r="B67" s="145" t="s">
        <v>584</v>
      </c>
      <c r="C67" s="149" t="s">
        <v>139</v>
      </c>
      <c r="D67" s="157" t="s">
        <v>518</v>
      </c>
      <c r="E67" s="98">
        <v>46</v>
      </c>
      <c r="F67" s="99"/>
      <c r="G67" s="99"/>
    </row>
    <row r="68" spans="1:16" s="8" customFormat="1" ht="27.75" customHeight="1" x14ac:dyDescent="0.2">
      <c r="A68" s="2"/>
      <c r="B68" s="144"/>
      <c r="C68" s="149" t="s">
        <v>291</v>
      </c>
      <c r="D68" s="157" t="s">
        <v>292</v>
      </c>
      <c r="E68" s="98">
        <v>48</v>
      </c>
      <c r="F68" s="99"/>
      <c r="G68" s="99"/>
    </row>
    <row r="69" spans="1:16" ht="38.25" x14ac:dyDescent="0.2">
      <c r="B69" s="144"/>
      <c r="C69" s="161" t="s">
        <v>293</v>
      </c>
      <c r="D69" s="162" t="s">
        <v>439</v>
      </c>
      <c r="E69" s="98">
        <v>49</v>
      </c>
      <c r="H69" s="8"/>
      <c r="I69" s="8"/>
      <c r="J69" s="8"/>
      <c r="K69" s="8"/>
      <c r="L69" s="8"/>
      <c r="M69" s="8"/>
      <c r="N69" s="8"/>
      <c r="O69" s="8"/>
      <c r="P69" s="8"/>
    </row>
    <row r="70" spans="1:16" ht="30" customHeight="1" thickBot="1" x14ac:dyDescent="0.25">
      <c r="B70" s="148"/>
      <c r="C70" s="160" t="s">
        <v>294</v>
      </c>
      <c r="D70" s="171" t="s">
        <v>335</v>
      </c>
      <c r="E70" s="98">
        <v>50</v>
      </c>
      <c r="H70" s="8"/>
      <c r="I70" s="8"/>
      <c r="J70" s="8"/>
      <c r="K70" s="8"/>
      <c r="L70" s="8"/>
      <c r="M70" s="8"/>
      <c r="N70" s="8"/>
      <c r="O70" s="8"/>
      <c r="P70" s="8"/>
    </row>
    <row r="71" spans="1:16" ht="27.75" customHeight="1" x14ac:dyDescent="0.2">
      <c r="B71" s="97"/>
      <c r="C71" s="38"/>
      <c r="D71" s="38"/>
    </row>
    <row r="72" spans="1:16" x14ac:dyDescent="0.2">
      <c r="B72" s="97"/>
      <c r="C72" s="38"/>
      <c r="D72" s="38"/>
    </row>
    <row r="73" spans="1:16" x14ac:dyDescent="0.2">
      <c r="B73" s="97"/>
      <c r="C73" s="38"/>
      <c r="D73" s="38"/>
    </row>
    <row r="74" spans="1:16" x14ac:dyDescent="0.2">
      <c r="B74" s="97"/>
      <c r="C74" s="38"/>
      <c r="D74" s="38"/>
    </row>
    <row r="75" spans="1:16" x14ac:dyDescent="0.2">
      <c r="B75" s="97"/>
      <c r="C75" s="38"/>
      <c r="D75" s="38"/>
    </row>
    <row r="76" spans="1:16" x14ac:dyDescent="0.2">
      <c r="B76" s="97"/>
      <c r="C76" s="38"/>
      <c r="D76" s="38"/>
    </row>
    <row r="77" spans="1:16" x14ac:dyDescent="0.2">
      <c r="B77" s="97"/>
      <c r="C77" s="38"/>
      <c r="D77" s="38"/>
    </row>
    <row r="78" spans="1:16" x14ac:dyDescent="0.2">
      <c r="B78" s="97"/>
      <c r="C78" s="38"/>
      <c r="D78" s="38"/>
    </row>
    <row r="79" spans="1:16" x14ac:dyDescent="0.2">
      <c r="B79" s="97"/>
      <c r="C79" s="38"/>
      <c r="D79" s="38"/>
    </row>
    <row r="80" spans="1:16" x14ac:dyDescent="0.2">
      <c r="B80" s="97"/>
      <c r="C80" s="38"/>
      <c r="D80" s="38"/>
    </row>
    <row r="81" spans="2:4" x14ac:dyDescent="0.2">
      <c r="B81" s="97"/>
      <c r="C81" s="38"/>
      <c r="D81" s="38"/>
    </row>
    <row r="82" spans="2:4" x14ac:dyDescent="0.2">
      <c r="B82" s="97"/>
      <c r="C82" s="38"/>
      <c r="D82" s="38"/>
    </row>
    <row r="83" spans="2:4" x14ac:dyDescent="0.2">
      <c r="B83" s="97"/>
      <c r="C83" s="38"/>
      <c r="D83" s="38"/>
    </row>
    <row r="84" spans="2:4" x14ac:dyDescent="0.2">
      <c r="B84" s="97"/>
      <c r="C84" s="38"/>
      <c r="D84" s="38"/>
    </row>
    <row r="85" spans="2:4" x14ac:dyDescent="0.2">
      <c r="B85" s="97"/>
      <c r="C85" s="38"/>
      <c r="D85" s="38"/>
    </row>
    <row r="86" spans="2:4" x14ac:dyDescent="0.2">
      <c r="B86" s="97"/>
      <c r="C86" s="38"/>
      <c r="D86" s="38"/>
    </row>
    <row r="87" spans="2:4" x14ac:dyDescent="0.2">
      <c r="B87" s="97"/>
      <c r="C87" s="38"/>
      <c r="D87" s="38"/>
    </row>
    <row r="88" spans="2:4" x14ac:dyDescent="0.2">
      <c r="B88" s="97"/>
      <c r="C88" s="38"/>
      <c r="D88" s="38"/>
    </row>
    <row r="89" spans="2:4" x14ac:dyDescent="0.2">
      <c r="B89" s="97"/>
      <c r="C89" s="38"/>
      <c r="D89" s="38"/>
    </row>
    <row r="90" spans="2:4" x14ac:dyDescent="0.2">
      <c r="B90" s="97"/>
      <c r="C90" s="38"/>
      <c r="D90" s="38"/>
    </row>
    <row r="91" spans="2:4" x14ac:dyDescent="0.2">
      <c r="B91" s="97"/>
      <c r="C91" s="38"/>
      <c r="D91" s="38"/>
    </row>
    <row r="92" spans="2:4" x14ac:dyDescent="0.2">
      <c r="B92" s="97"/>
      <c r="C92" s="38"/>
      <c r="D92" s="38"/>
    </row>
    <row r="93" spans="2:4" x14ac:dyDescent="0.2">
      <c r="B93" s="97"/>
      <c r="C93" s="38"/>
      <c r="D93" s="38"/>
    </row>
    <row r="94" spans="2:4" x14ac:dyDescent="0.2">
      <c r="B94" s="97"/>
      <c r="C94" s="38"/>
      <c r="D94" s="38"/>
    </row>
  </sheetData>
  <sheetProtection sheet="1"/>
  <mergeCells count="4">
    <mergeCell ref="B3:D3"/>
    <mergeCell ref="B5:D5"/>
    <mergeCell ref="B14:D14"/>
    <mergeCell ref="B6:D6"/>
  </mergeCells>
  <phoneticPr fontId="8" type="noConversion"/>
  <printOptions horizontalCentered="1"/>
  <pageMargins left="0.56000000000000005" right="0.4" top="0.39" bottom="0.82" header="0.25" footer="0.5"/>
  <pageSetup paperSize="9" scale="87" fitToHeight="6" orientation="landscape" r:id="rId1"/>
  <headerFooter alignWithMargins="0">
    <oddFooter>&amp;C&amp;"Arial,Normal"&amp;8Questionnaire UNSD/PNUE 2013 sur les Statistiques de l'environnement - Section d'eau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8"/>
  <sheetViews>
    <sheetView showGridLines="0" zoomScale="85" zoomScaleNormal="85" zoomScaleSheetLayoutView="100" workbookViewId="0"/>
  </sheetViews>
  <sheetFormatPr defaultRowHeight="12.75" x14ac:dyDescent="0.2"/>
  <cols>
    <col min="1" max="2" width="2.5" style="45" customWidth="1"/>
    <col min="3" max="3" width="2" style="45" customWidth="1"/>
    <col min="4" max="4" width="2.33203125" style="45" customWidth="1"/>
    <col min="5" max="5" width="18.6640625" style="45" customWidth="1"/>
    <col min="6" max="6" width="19" style="45" customWidth="1"/>
    <col min="7" max="7" width="19.33203125" style="45" customWidth="1"/>
    <col min="8" max="8" width="19.83203125" style="45" customWidth="1"/>
    <col min="9" max="9" width="19.1640625" style="45" customWidth="1"/>
    <col min="10" max="10" width="21.5" style="45" customWidth="1"/>
    <col min="11" max="11" width="2.1640625" style="45" customWidth="1"/>
    <col min="12" max="12" width="10.33203125" style="45" customWidth="1"/>
    <col min="13" max="13" width="2.5" style="45" customWidth="1"/>
    <col min="14" max="14" width="23.33203125" style="45" customWidth="1"/>
    <col min="15" max="15" width="13.83203125" style="45" customWidth="1"/>
    <col min="16" max="16" width="19" style="45" customWidth="1"/>
    <col min="17" max="18" width="10.33203125" style="45" customWidth="1"/>
    <col min="19" max="19" width="5.83203125" style="45" customWidth="1"/>
    <col min="20" max="20" width="24.5" style="45" customWidth="1"/>
    <col min="21" max="21" width="6.33203125" style="45" customWidth="1"/>
    <col min="22" max="22" width="2.6640625" style="45" customWidth="1"/>
    <col min="23" max="23" width="16.5" style="45" customWidth="1"/>
    <col min="24" max="24" width="2.1640625" style="45" customWidth="1"/>
    <col min="25" max="25" width="12" style="45" customWidth="1"/>
    <col min="26" max="26" width="8.1640625" style="45" customWidth="1"/>
    <col min="27" max="27" width="17" style="45" customWidth="1"/>
    <col min="28" max="28" width="2.33203125" style="45" customWidth="1"/>
    <col min="29" max="29" width="12" style="45" customWidth="1"/>
    <col min="30" max="30" width="8.5" style="45" customWidth="1"/>
    <col min="31" max="31" width="16.6640625" style="45" customWidth="1"/>
    <col min="32" max="32" width="2.6640625" style="45" customWidth="1"/>
    <col min="33" max="33" width="12" style="45" customWidth="1"/>
    <col min="34" max="34" width="8.83203125" style="45" customWidth="1"/>
    <col min="35" max="35" width="17.6640625" style="45" customWidth="1"/>
    <col min="36" max="36" width="2.1640625" style="45" customWidth="1"/>
    <col min="37" max="37" width="12" style="45" customWidth="1"/>
    <col min="38" max="38" width="3.1640625" style="45" customWidth="1"/>
    <col min="39" max="39" width="11.83203125" style="45" customWidth="1"/>
    <col min="40" max="40" width="4" style="45" customWidth="1"/>
    <col min="41" max="41" width="11.5" style="45" customWidth="1"/>
    <col min="42" max="42" width="2.5" style="45" customWidth="1"/>
    <col min="43" max="43" width="9.33203125" style="45"/>
    <col min="44" max="44" width="2" style="45" customWidth="1"/>
    <col min="45" max="45" width="2.6640625" style="45" customWidth="1"/>
    <col min="46" max="256" width="9.33203125" style="45"/>
    <col min="257" max="258" width="2.5" style="45" customWidth="1"/>
    <col min="259" max="259" width="2" style="45" customWidth="1"/>
    <col min="260" max="260" width="2.33203125" style="45" customWidth="1"/>
    <col min="261" max="261" width="18.6640625" style="45" customWidth="1"/>
    <col min="262" max="262" width="19" style="45" customWidth="1"/>
    <col min="263" max="263" width="19.33203125" style="45" customWidth="1"/>
    <col min="264" max="264" width="19.83203125" style="45" customWidth="1"/>
    <col min="265" max="265" width="19.1640625" style="45" customWidth="1"/>
    <col min="266" max="266" width="21.5" style="45" customWidth="1"/>
    <col min="267" max="267" width="2.1640625" style="45" customWidth="1"/>
    <col min="268" max="268" width="10.33203125" style="45" customWidth="1"/>
    <col min="269" max="269" width="2.5" style="45" customWidth="1"/>
    <col min="270" max="270" width="23.33203125" style="45" customWidth="1"/>
    <col min="271" max="271" width="13.83203125" style="45" customWidth="1"/>
    <col min="272" max="272" width="19" style="45" customWidth="1"/>
    <col min="273" max="274" width="10.33203125" style="45" customWidth="1"/>
    <col min="275" max="275" width="5.83203125" style="45" customWidth="1"/>
    <col min="276" max="276" width="24.5" style="45" customWidth="1"/>
    <col min="277" max="277" width="6.33203125" style="45" customWidth="1"/>
    <col min="278" max="278" width="2.6640625" style="45" customWidth="1"/>
    <col min="279" max="279" width="16.5" style="45" customWidth="1"/>
    <col min="280" max="280" width="2.1640625" style="45" customWidth="1"/>
    <col min="281" max="281" width="12" style="45" customWidth="1"/>
    <col min="282" max="282" width="8.1640625" style="45" customWidth="1"/>
    <col min="283" max="283" width="17" style="45" customWidth="1"/>
    <col min="284" max="284" width="2.33203125" style="45" customWidth="1"/>
    <col min="285" max="285" width="12" style="45" customWidth="1"/>
    <col min="286" max="286" width="8.5" style="45" customWidth="1"/>
    <col min="287" max="287" width="16.6640625" style="45" customWidth="1"/>
    <col min="288" max="288" width="2.6640625" style="45" customWidth="1"/>
    <col min="289" max="289" width="12" style="45" customWidth="1"/>
    <col min="290" max="290" width="8.83203125" style="45" customWidth="1"/>
    <col min="291" max="291" width="17.6640625" style="45" customWidth="1"/>
    <col min="292" max="292" width="2.1640625" style="45" customWidth="1"/>
    <col min="293" max="293" width="12" style="45" customWidth="1"/>
    <col min="294" max="294" width="3.1640625" style="45" customWidth="1"/>
    <col min="295" max="295" width="11.83203125" style="45" customWidth="1"/>
    <col min="296" max="296" width="4" style="45" customWidth="1"/>
    <col min="297" max="297" width="11.5" style="45" customWidth="1"/>
    <col min="298" max="298" width="2.5" style="45" customWidth="1"/>
    <col min="299" max="299" width="9.33203125" style="45"/>
    <col min="300" max="300" width="2" style="45" customWidth="1"/>
    <col min="301" max="301" width="2.6640625" style="45" customWidth="1"/>
    <col min="302" max="512" width="9.33203125" style="45"/>
    <col min="513" max="514" width="2.5" style="45" customWidth="1"/>
    <col min="515" max="515" width="2" style="45" customWidth="1"/>
    <col min="516" max="516" width="2.33203125" style="45" customWidth="1"/>
    <col min="517" max="517" width="18.6640625" style="45" customWidth="1"/>
    <col min="518" max="518" width="19" style="45" customWidth="1"/>
    <col min="519" max="519" width="19.33203125" style="45" customWidth="1"/>
    <col min="520" max="520" width="19.83203125" style="45" customWidth="1"/>
    <col min="521" max="521" width="19.1640625" style="45" customWidth="1"/>
    <col min="522" max="522" width="21.5" style="45" customWidth="1"/>
    <col min="523" max="523" width="2.1640625" style="45" customWidth="1"/>
    <col min="524" max="524" width="10.33203125" style="45" customWidth="1"/>
    <col min="525" max="525" width="2.5" style="45" customWidth="1"/>
    <col min="526" max="526" width="23.33203125" style="45" customWidth="1"/>
    <col min="527" max="527" width="13.83203125" style="45" customWidth="1"/>
    <col min="528" max="528" width="19" style="45" customWidth="1"/>
    <col min="529" max="530" width="10.33203125" style="45" customWidth="1"/>
    <col min="531" max="531" width="5.83203125" style="45" customWidth="1"/>
    <col min="532" max="532" width="24.5" style="45" customWidth="1"/>
    <col min="533" max="533" width="6.33203125" style="45" customWidth="1"/>
    <col min="534" max="534" width="2.6640625" style="45" customWidth="1"/>
    <col min="535" max="535" width="16.5" style="45" customWidth="1"/>
    <col min="536" max="536" width="2.1640625" style="45" customWidth="1"/>
    <col min="537" max="537" width="12" style="45" customWidth="1"/>
    <col min="538" max="538" width="8.1640625" style="45" customWidth="1"/>
    <col min="539" max="539" width="17" style="45" customWidth="1"/>
    <col min="540" max="540" width="2.33203125" style="45" customWidth="1"/>
    <col min="541" max="541" width="12" style="45" customWidth="1"/>
    <col min="542" max="542" width="8.5" style="45" customWidth="1"/>
    <col min="543" max="543" width="16.6640625" style="45" customWidth="1"/>
    <col min="544" max="544" width="2.6640625" style="45" customWidth="1"/>
    <col min="545" max="545" width="12" style="45" customWidth="1"/>
    <col min="546" max="546" width="8.83203125" style="45" customWidth="1"/>
    <col min="547" max="547" width="17.6640625" style="45" customWidth="1"/>
    <col min="548" max="548" width="2.1640625" style="45" customWidth="1"/>
    <col min="549" max="549" width="12" style="45" customWidth="1"/>
    <col min="550" max="550" width="3.1640625" style="45" customWidth="1"/>
    <col min="551" max="551" width="11.83203125" style="45" customWidth="1"/>
    <col min="552" max="552" width="4" style="45" customWidth="1"/>
    <col min="553" max="553" width="11.5" style="45" customWidth="1"/>
    <col min="554" max="554" width="2.5" style="45" customWidth="1"/>
    <col min="555" max="555" width="9.33203125" style="45"/>
    <col min="556" max="556" width="2" style="45" customWidth="1"/>
    <col min="557" max="557" width="2.6640625" style="45" customWidth="1"/>
    <col min="558" max="768" width="9.33203125" style="45"/>
    <col min="769" max="770" width="2.5" style="45" customWidth="1"/>
    <col min="771" max="771" width="2" style="45" customWidth="1"/>
    <col min="772" max="772" width="2.33203125" style="45" customWidth="1"/>
    <col min="773" max="773" width="18.6640625" style="45" customWidth="1"/>
    <col min="774" max="774" width="19" style="45" customWidth="1"/>
    <col min="775" max="775" width="19.33203125" style="45" customWidth="1"/>
    <col min="776" max="776" width="19.83203125" style="45" customWidth="1"/>
    <col min="777" max="777" width="19.1640625" style="45" customWidth="1"/>
    <col min="778" max="778" width="21.5" style="45" customWidth="1"/>
    <col min="779" max="779" width="2.1640625" style="45" customWidth="1"/>
    <col min="780" max="780" width="10.33203125" style="45" customWidth="1"/>
    <col min="781" max="781" width="2.5" style="45" customWidth="1"/>
    <col min="782" max="782" width="23.33203125" style="45" customWidth="1"/>
    <col min="783" max="783" width="13.83203125" style="45" customWidth="1"/>
    <col min="784" max="784" width="19" style="45" customWidth="1"/>
    <col min="785" max="786" width="10.33203125" style="45" customWidth="1"/>
    <col min="787" max="787" width="5.83203125" style="45" customWidth="1"/>
    <col min="788" max="788" width="24.5" style="45" customWidth="1"/>
    <col min="789" max="789" width="6.33203125" style="45" customWidth="1"/>
    <col min="790" max="790" width="2.6640625" style="45" customWidth="1"/>
    <col min="791" max="791" width="16.5" style="45" customWidth="1"/>
    <col min="792" max="792" width="2.1640625" style="45" customWidth="1"/>
    <col min="793" max="793" width="12" style="45" customWidth="1"/>
    <col min="794" max="794" width="8.1640625" style="45" customWidth="1"/>
    <col min="795" max="795" width="17" style="45" customWidth="1"/>
    <col min="796" max="796" width="2.33203125" style="45" customWidth="1"/>
    <col min="797" max="797" width="12" style="45" customWidth="1"/>
    <col min="798" max="798" width="8.5" style="45" customWidth="1"/>
    <col min="799" max="799" width="16.6640625" style="45" customWidth="1"/>
    <col min="800" max="800" width="2.6640625" style="45" customWidth="1"/>
    <col min="801" max="801" width="12" style="45" customWidth="1"/>
    <col min="802" max="802" width="8.83203125" style="45" customWidth="1"/>
    <col min="803" max="803" width="17.6640625" style="45" customWidth="1"/>
    <col min="804" max="804" width="2.1640625" style="45" customWidth="1"/>
    <col min="805" max="805" width="12" style="45" customWidth="1"/>
    <col min="806" max="806" width="3.1640625" style="45" customWidth="1"/>
    <col min="807" max="807" width="11.83203125" style="45" customWidth="1"/>
    <col min="808" max="808" width="4" style="45" customWidth="1"/>
    <col min="809" max="809" width="11.5" style="45" customWidth="1"/>
    <col min="810" max="810" width="2.5" style="45" customWidth="1"/>
    <col min="811" max="811" width="9.33203125" style="45"/>
    <col min="812" max="812" width="2" style="45" customWidth="1"/>
    <col min="813" max="813" width="2.6640625" style="45" customWidth="1"/>
    <col min="814" max="1024" width="9.33203125" style="45"/>
    <col min="1025" max="1026" width="2.5" style="45" customWidth="1"/>
    <col min="1027" max="1027" width="2" style="45" customWidth="1"/>
    <col min="1028" max="1028" width="2.33203125" style="45" customWidth="1"/>
    <col min="1029" max="1029" width="18.6640625" style="45" customWidth="1"/>
    <col min="1030" max="1030" width="19" style="45" customWidth="1"/>
    <col min="1031" max="1031" width="19.33203125" style="45" customWidth="1"/>
    <col min="1032" max="1032" width="19.83203125" style="45" customWidth="1"/>
    <col min="1033" max="1033" width="19.1640625" style="45" customWidth="1"/>
    <col min="1034" max="1034" width="21.5" style="45" customWidth="1"/>
    <col min="1035" max="1035" width="2.1640625" style="45" customWidth="1"/>
    <col min="1036" max="1036" width="10.33203125" style="45" customWidth="1"/>
    <col min="1037" max="1037" width="2.5" style="45" customWidth="1"/>
    <col min="1038" max="1038" width="23.33203125" style="45" customWidth="1"/>
    <col min="1039" max="1039" width="13.83203125" style="45" customWidth="1"/>
    <col min="1040" max="1040" width="19" style="45" customWidth="1"/>
    <col min="1041" max="1042" width="10.33203125" style="45" customWidth="1"/>
    <col min="1043" max="1043" width="5.83203125" style="45" customWidth="1"/>
    <col min="1044" max="1044" width="24.5" style="45" customWidth="1"/>
    <col min="1045" max="1045" width="6.33203125" style="45" customWidth="1"/>
    <col min="1046" max="1046" width="2.6640625" style="45" customWidth="1"/>
    <col min="1047" max="1047" width="16.5" style="45" customWidth="1"/>
    <col min="1048" max="1048" width="2.1640625" style="45" customWidth="1"/>
    <col min="1049" max="1049" width="12" style="45" customWidth="1"/>
    <col min="1050" max="1050" width="8.1640625" style="45" customWidth="1"/>
    <col min="1051" max="1051" width="17" style="45" customWidth="1"/>
    <col min="1052" max="1052" width="2.33203125" style="45" customWidth="1"/>
    <col min="1053" max="1053" width="12" style="45" customWidth="1"/>
    <col min="1054" max="1054" width="8.5" style="45" customWidth="1"/>
    <col min="1055" max="1055" width="16.6640625" style="45" customWidth="1"/>
    <col min="1056" max="1056" width="2.6640625" style="45" customWidth="1"/>
    <col min="1057" max="1057" width="12" style="45" customWidth="1"/>
    <col min="1058" max="1058" width="8.83203125" style="45" customWidth="1"/>
    <col min="1059" max="1059" width="17.6640625" style="45" customWidth="1"/>
    <col min="1060" max="1060" width="2.1640625" style="45" customWidth="1"/>
    <col min="1061" max="1061" width="12" style="45" customWidth="1"/>
    <col min="1062" max="1062" width="3.1640625" style="45" customWidth="1"/>
    <col min="1063" max="1063" width="11.83203125" style="45" customWidth="1"/>
    <col min="1064" max="1064" width="4" style="45" customWidth="1"/>
    <col min="1065" max="1065" width="11.5" style="45" customWidth="1"/>
    <col min="1066" max="1066" width="2.5" style="45" customWidth="1"/>
    <col min="1067" max="1067" width="9.33203125" style="45"/>
    <col min="1068" max="1068" width="2" style="45" customWidth="1"/>
    <col min="1069" max="1069" width="2.6640625" style="45" customWidth="1"/>
    <col min="1070" max="1280" width="9.33203125" style="45"/>
    <col min="1281" max="1282" width="2.5" style="45" customWidth="1"/>
    <col min="1283" max="1283" width="2" style="45" customWidth="1"/>
    <col min="1284" max="1284" width="2.33203125" style="45" customWidth="1"/>
    <col min="1285" max="1285" width="18.6640625" style="45" customWidth="1"/>
    <col min="1286" max="1286" width="19" style="45" customWidth="1"/>
    <col min="1287" max="1287" width="19.33203125" style="45" customWidth="1"/>
    <col min="1288" max="1288" width="19.83203125" style="45" customWidth="1"/>
    <col min="1289" max="1289" width="19.1640625" style="45" customWidth="1"/>
    <col min="1290" max="1290" width="21.5" style="45" customWidth="1"/>
    <col min="1291" max="1291" width="2.1640625" style="45" customWidth="1"/>
    <col min="1292" max="1292" width="10.33203125" style="45" customWidth="1"/>
    <col min="1293" max="1293" width="2.5" style="45" customWidth="1"/>
    <col min="1294" max="1294" width="23.33203125" style="45" customWidth="1"/>
    <col min="1295" max="1295" width="13.83203125" style="45" customWidth="1"/>
    <col min="1296" max="1296" width="19" style="45" customWidth="1"/>
    <col min="1297" max="1298" width="10.33203125" style="45" customWidth="1"/>
    <col min="1299" max="1299" width="5.83203125" style="45" customWidth="1"/>
    <col min="1300" max="1300" width="24.5" style="45" customWidth="1"/>
    <col min="1301" max="1301" width="6.33203125" style="45" customWidth="1"/>
    <col min="1302" max="1302" width="2.6640625" style="45" customWidth="1"/>
    <col min="1303" max="1303" width="16.5" style="45" customWidth="1"/>
    <col min="1304" max="1304" width="2.1640625" style="45" customWidth="1"/>
    <col min="1305" max="1305" width="12" style="45" customWidth="1"/>
    <col min="1306" max="1306" width="8.1640625" style="45" customWidth="1"/>
    <col min="1307" max="1307" width="17" style="45" customWidth="1"/>
    <col min="1308" max="1308" width="2.33203125" style="45" customWidth="1"/>
    <col min="1309" max="1309" width="12" style="45" customWidth="1"/>
    <col min="1310" max="1310" width="8.5" style="45" customWidth="1"/>
    <col min="1311" max="1311" width="16.6640625" style="45" customWidth="1"/>
    <col min="1312" max="1312" width="2.6640625" style="45" customWidth="1"/>
    <col min="1313" max="1313" width="12" style="45" customWidth="1"/>
    <col min="1314" max="1314" width="8.83203125" style="45" customWidth="1"/>
    <col min="1315" max="1315" width="17.6640625" style="45" customWidth="1"/>
    <col min="1316" max="1316" width="2.1640625" style="45" customWidth="1"/>
    <col min="1317" max="1317" width="12" style="45" customWidth="1"/>
    <col min="1318" max="1318" width="3.1640625" style="45" customWidth="1"/>
    <col min="1319" max="1319" width="11.83203125" style="45" customWidth="1"/>
    <col min="1320" max="1320" width="4" style="45" customWidth="1"/>
    <col min="1321" max="1321" width="11.5" style="45" customWidth="1"/>
    <col min="1322" max="1322" width="2.5" style="45" customWidth="1"/>
    <col min="1323" max="1323" width="9.33203125" style="45"/>
    <col min="1324" max="1324" width="2" style="45" customWidth="1"/>
    <col min="1325" max="1325" width="2.6640625" style="45" customWidth="1"/>
    <col min="1326" max="1536" width="9.33203125" style="45"/>
    <col min="1537" max="1538" width="2.5" style="45" customWidth="1"/>
    <col min="1539" max="1539" width="2" style="45" customWidth="1"/>
    <col min="1540" max="1540" width="2.33203125" style="45" customWidth="1"/>
    <col min="1541" max="1541" width="18.6640625" style="45" customWidth="1"/>
    <col min="1542" max="1542" width="19" style="45" customWidth="1"/>
    <col min="1543" max="1543" width="19.33203125" style="45" customWidth="1"/>
    <col min="1544" max="1544" width="19.83203125" style="45" customWidth="1"/>
    <col min="1545" max="1545" width="19.1640625" style="45" customWidth="1"/>
    <col min="1546" max="1546" width="21.5" style="45" customWidth="1"/>
    <col min="1547" max="1547" width="2.1640625" style="45" customWidth="1"/>
    <col min="1548" max="1548" width="10.33203125" style="45" customWidth="1"/>
    <col min="1549" max="1549" width="2.5" style="45" customWidth="1"/>
    <col min="1550" max="1550" width="23.33203125" style="45" customWidth="1"/>
    <col min="1551" max="1551" width="13.83203125" style="45" customWidth="1"/>
    <col min="1552" max="1552" width="19" style="45" customWidth="1"/>
    <col min="1553" max="1554" width="10.33203125" style="45" customWidth="1"/>
    <col min="1555" max="1555" width="5.83203125" style="45" customWidth="1"/>
    <col min="1556" max="1556" width="24.5" style="45" customWidth="1"/>
    <col min="1557" max="1557" width="6.33203125" style="45" customWidth="1"/>
    <col min="1558" max="1558" width="2.6640625" style="45" customWidth="1"/>
    <col min="1559" max="1559" width="16.5" style="45" customWidth="1"/>
    <col min="1560" max="1560" width="2.1640625" style="45" customWidth="1"/>
    <col min="1561" max="1561" width="12" style="45" customWidth="1"/>
    <col min="1562" max="1562" width="8.1640625" style="45" customWidth="1"/>
    <col min="1563" max="1563" width="17" style="45" customWidth="1"/>
    <col min="1564" max="1564" width="2.33203125" style="45" customWidth="1"/>
    <col min="1565" max="1565" width="12" style="45" customWidth="1"/>
    <col min="1566" max="1566" width="8.5" style="45" customWidth="1"/>
    <col min="1567" max="1567" width="16.6640625" style="45" customWidth="1"/>
    <col min="1568" max="1568" width="2.6640625" style="45" customWidth="1"/>
    <col min="1569" max="1569" width="12" style="45" customWidth="1"/>
    <col min="1570" max="1570" width="8.83203125" style="45" customWidth="1"/>
    <col min="1571" max="1571" width="17.6640625" style="45" customWidth="1"/>
    <col min="1572" max="1572" width="2.1640625" style="45" customWidth="1"/>
    <col min="1573" max="1573" width="12" style="45" customWidth="1"/>
    <col min="1574" max="1574" width="3.1640625" style="45" customWidth="1"/>
    <col min="1575" max="1575" width="11.83203125" style="45" customWidth="1"/>
    <col min="1576" max="1576" width="4" style="45" customWidth="1"/>
    <col min="1577" max="1577" width="11.5" style="45" customWidth="1"/>
    <col min="1578" max="1578" width="2.5" style="45" customWidth="1"/>
    <col min="1579" max="1579" width="9.33203125" style="45"/>
    <col min="1580" max="1580" width="2" style="45" customWidth="1"/>
    <col min="1581" max="1581" width="2.6640625" style="45" customWidth="1"/>
    <col min="1582" max="1792" width="9.33203125" style="45"/>
    <col min="1793" max="1794" width="2.5" style="45" customWidth="1"/>
    <col min="1795" max="1795" width="2" style="45" customWidth="1"/>
    <col min="1796" max="1796" width="2.33203125" style="45" customWidth="1"/>
    <col min="1797" max="1797" width="18.6640625" style="45" customWidth="1"/>
    <col min="1798" max="1798" width="19" style="45" customWidth="1"/>
    <col min="1799" max="1799" width="19.33203125" style="45" customWidth="1"/>
    <col min="1800" max="1800" width="19.83203125" style="45" customWidth="1"/>
    <col min="1801" max="1801" width="19.1640625" style="45" customWidth="1"/>
    <col min="1802" max="1802" width="21.5" style="45" customWidth="1"/>
    <col min="1803" max="1803" width="2.1640625" style="45" customWidth="1"/>
    <col min="1804" max="1804" width="10.33203125" style="45" customWidth="1"/>
    <col min="1805" max="1805" width="2.5" style="45" customWidth="1"/>
    <col min="1806" max="1806" width="23.33203125" style="45" customWidth="1"/>
    <col min="1807" max="1807" width="13.83203125" style="45" customWidth="1"/>
    <col min="1808" max="1808" width="19" style="45" customWidth="1"/>
    <col min="1809" max="1810" width="10.33203125" style="45" customWidth="1"/>
    <col min="1811" max="1811" width="5.83203125" style="45" customWidth="1"/>
    <col min="1812" max="1812" width="24.5" style="45" customWidth="1"/>
    <col min="1813" max="1813" width="6.33203125" style="45" customWidth="1"/>
    <col min="1814" max="1814" width="2.6640625" style="45" customWidth="1"/>
    <col min="1815" max="1815" width="16.5" style="45" customWidth="1"/>
    <col min="1816" max="1816" width="2.1640625" style="45" customWidth="1"/>
    <col min="1817" max="1817" width="12" style="45" customWidth="1"/>
    <col min="1818" max="1818" width="8.1640625" style="45" customWidth="1"/>
    <col min="1819" max="1819" width="17" style="45" customWidth="1"/>
    <col min="1820" max="1820" width="2.33203125" style="45" customWidth="1"/>
    <col min="1821" max="1821" width="12" style="45" customWidth="1"/>
    <col min="1822" max="1822" width="8.5" style="45" customWidth="1"/>
    <col min="1823" max="1823" width="16.6640625" style="45" customWidth="1"/>
    <col min="1824" max="1824" width="2.6640625" style="45" customWidth="1"/>
    <col min="1825" max="1825" width="12" style="45" customWidth="1"/>
    <col min="1826" max="1826" width="8.83203125" style="45" customWidth="1"/>
    <col min="1827" max="1827" width="17.6640625" style="45" customWidth="1"/>
    <col min="1828" max="1828" width="2.1640625" style="45" customWidth="1"/>
    <col min="1829" max="1829" width="12" style="45" customWidth="1"/>
    <col min="1830" max="1830" width="3.1640625" style="45" customWidth="1"/>
    <col min="1831" max="1831" width="11.83203125" style="45" customWidth="1"/>
    <col min="1832" max="1832" width="4" style="45" customWidth="1"/>
    <col min="1833" max="1833" width="11.5" style="45" customWidth="1"/>
    <col min="1834" max="1834" width="2.5" style="45" customWidth="1"/>
    <col min="1835" max="1835" width="9.33203125" style="45"/>
    <col min="1836" max="1836" width="2" style="45" customWidth="1"/>
    <col min="1837" max="1837" width="2.6640625" style="45" customWidth="1"/>
    <col min="1838" max="2048" width="9.33203125" style="45"/>
    <col min="2049" max="2050" width="2.5" style="45" customWidth="1"/>
    <col min="2051" max="2051" width="2" style="45" customWidth="1"/>
    <col min="2052" max="2052" width="2.33203125" style="45" customWidth="1"/>
    <col min="2053" max="2053" width="18.6640625" style="45" customWidth="1"/>
    <col min="2054" max="2054" width="19" style="45" customWidth="1"/>
    <col min="2055" max="2055" width="19.33203125" style="45" customWidth="1"/>
    <col min="2056" max="2056" width="19.83203125" style="45" customWidth="1"/>
    <col min="2057" max="2057" width="19.1640625" style="45" customWidth="1"/>
    <col min="2058" max="2058" width="21.5" style="45" customWidth="1"/>
    <col min="2059" max="2059" width="2.1640625" style="45" customWidth="1"/>
    <col min="2060" max="2060" width="10.33203125" style="45" customWidth="1"/>
    <col min="2061" max="2061" width="2.5" style="45" customWidth="1"/>
    <col min="2062" max="2062" width="23.33203125" style="45" customWidth="1"/>
    <col min="2063" max="2063" width="13.83203125" style="45" customWidth="1"/>
    <col min="2064" max="2064" width="19" style="45" customWidth="1"/>
    <col min="2065" max="2066" width="10.33203125" style="45" customWidth="1"/>
    <col min="2067" max="2067" width="5.83203125" style="45" customWidth="1"/>
    <col min="2068" max="2068" width="24.5" style="45" customWidth="1"/>
    <col min="2069" max="2069" width="6.33203125" style="45" customWidth="1"/>
    <col min="2070" max="2070" width="2.6640625" style="45" customWidth="1"/>
    <col min="2071" max="2071" width="16.5" style="45" customWidth="1"/>
    <col min="2072" max="2072" width="2.1640625" style="45" customWidth="1"/>
    <col min="2073" max="2073" width="12" style="45" customWidth="1"/>
    <col min="2074" max="2074" width="8.1640625" style="45" customWidth="1"/>
    <col min="2075" max="2075" width="17" style="45" customWidth="1"/>
    <col min="2076" max="2076" width="2.33203125" style="45" customWidth="1"/>
    <col min="2077" max="2077" width="12" style="45" customWidth="1"/>
    <col min="2078" max="2078" width="8.5" style="45" customWidth="1"/>
    <col min="2079" max="2079" width="16.6640625" style="45" customWidth="1"/>
    <col min="2080" max="2080" width="2.6640625" style="45" customWidth="1"/>
    <col min="2081" max="2081" width="12" style="45" customWidth="1"/>
    <col min="2082" max="2082" width="8.83203125" style="45" customWidth="1"/>
    <col min="2083" max="2083" width="17.6640625" style="45" customWidth="1"/>
    <col min="2084" max="2084" width="2.1640625" style="45" customWidth="1"/>
    <col min="2085" max="2085" width="12" style="45" customWidth="1"/>
    <col min="2086" max="2086" width="3.1640625" style="45" customWidth="1"/>
    <col min="2087" max="2087" width="11.83203125" style="45" customWidth="1"/>
    <col min="2088" max="2088" width="4" style="45" customWidth="1"/>
    <col min="2089" max="2089" width="11.5" style="45" customWidth="1"/>
    <col min="2090" max="2090" width="2.5" style="45" customWidth="1"/>
    <col min="2091" max="2091" width="9.33203125" style="45"/>
    <col min="2092" max="2092" width="2" style="45" customWidth="1"/>
    <col min="2093" max="2093" width="2.6640625" style="45" customWidth="1"/>
    <col min="2094" max="2304" width="9.33203125" style="45"/>
    <col min="2305" max="2306" width="2.5" style="45" customWidth="1"/>
    <col min="2307" max="2307" width="2" style="45" customWidth="1"/>
    <col min="2308" max="2308" width="2.33203125" style="45" customWidth="1"/>
    <col min="2309" max="2309" width="18.6640625" style="45" customWidth="1"/>
    <col min="2310" max="2310" width="19" style="45" customWidth="1"/>
    <col min="2311" max="2311" width="19.33203125" style="45" customWidth="1"/>
    <col min="2312" max="2312" width="19.83203125" style="45" customWidth="1"/>
    <col min="2313" max="2313" width="19.1640625" style="45" customWidth="1"/>
    <col min="2314" max="2314" width="21.5" style="45" customWidth="1"/>
    <col min="2315" max="2315" width="2.1640625" style="45" customWidth="1"/>
    <col min="2316" max="2316" width="10.33203125" style="45" customWidth="1"/>
    <col min="2317" max="2317" width="2.5" style="45" customWidth="1"/>
    <col min="2318" max="2318" width="23.33203125" style="45" customWidth="1"/>
    <col min="2319" max="2319" width="13.83203125" style="45" customWidth="1"/>
    <col min="2320" max="2320" width="19" style="45" customWidth="1"/>
    <col min="2321" max="2322" width="10.33203125" style="45" customWidth="1"/>
    <col min="2323" max="2323" width="5.83203125" style="45" customWidth="1"/>
    <col min="2324" max="2324" width="24.5" style="45" customWidth="1"/>
    <col min="2325" max="2325" width="6.33203125" style="45" customWidth="1"/>
    <col min="2326" max="2326" width="2.6640625" style="45" customWidth="1"/>
    <col min="2327" max="2327" width="16.5" style="45" customWidth="1"/>
    <col min="2328" max="2328" width="2.1640625" style="45" customWidth="1"/>
    <col min="2329" max="2329" width="12" style="45" customWidth="1"/>
    <col min="2330" max="2330" width="8.1640625" style="45" customWidth="1"/>
    <col min="2331" max="2331" width="17" style="45" customWidth="1"/>
    <col min="2332" max="2332" width="2.33203125" style="45" customWidth="1"/>
    <col min="2333" max="2333" width="12" style="45" customWidth="1"/>
    <col min="2334" max="2334" width="8.5" style="45" customWidth="1"/>
    <col min="2335" max="2335" width="16.6640625" style="45" customWidth="1"/>
    <col min="2336" max="2336" width="2.6640625" style="45" customWidth="1"/>
    <col min="2337" max="2337" width="12" style="45" customWidth="1"/>
    <col min="2338" max="2338" width="8.83203125" style="45" customWidth="1"/>
    <col min="2339" max="2339" width="17.6640625" style="45" customWidth="1"/>
    <col min="2340" max="2340" width="2.1640625" style="45" customWidth="1"/>
    <col min="2341" max="2341" width="12" style="45" customWidth="1"/>
    <col min="2342" max="2342" width="3.1640625" style="45" customWidth="1"/>
    <col min="2343" max="2343" width="11.83203125" style="45" customWidth="1"/>
    <col min="2344" max="2344" width="4" style="45" customWidth="1"/>
    <col min="2345" max="2345" width="11.5" style="45" customWidth="1"/>
    <col min="2346" max="2346" width="2.5" style="45" customWidth="1"/>
    <col min="2347" max="2347" width="9.33203125" style="45"/>
    <col min="2348" max="2348" width="2" style="45" customWidth="1"/>
    <col min="2349" max="2349" width="2.6640625" style="45" customWidth="1"/>
    <col min="2350" max="2560" width="9.33203125" style="45"/>
    <col min="2561" max="2562" width="2.5" style="45" customWidth="1"/>
    <col min="2563" max="2563" width="2" style="45" customWidth="1"/>
    <col min="2564" max="2564" width="2.33203125" style="45" customWidth="1"/>
    <col min="2565" max="2565" width="18.6640625" style="45" customWidth="1"/>
    <col min="2566" max="2566" width="19" style="45" customWidth="1"/>
    <col min="2567" max="2567" width="19.33203125" style="45" customWidth="1"/>
    <col min="2568" max="2568" width="19.83203125" style="45" customWidth="1"/>
    <col min="2569" max="2569" width="19.1640625" style="45" customWidth="1"/>
    <col min="2570" max="2570" width="21.5" style="45" customWidth="1"/>
    <col min="2571" max="2571" width="2.1640625" style="45" customWidth="1"/>
    <col min="2572" max="2572" width="10.33203125" style="45" customWidth="1"/>
    <col min="2573" max="2573" width="2.5" style="45" customWidth="1"/>
    <col min="2574" max="2574" width="23.33203125" style="45" customWidth="1"/>
    <col min="2575" max="2575" width="13.83203125" style="45" customWidth="1"/>
    <col min="2576" max="2576" width="19" style="45" customWidth="1"/>
    <col min="2577" max="2578" width="10.33203125" style="45" customWidth="1"/>
    <col min="2579" max="2579" width="5.83203125" style="45" customWidth="1"/>
    <col min="2580" max="2580" width="24.5" style="45" customWidth="1"/>
    <col min="2581" max="2581" width="6.33203125" style="45" customWidth="1"/>
    <col min="2582" max="2582" width="2.6640625" style="45" customWidth="1"/>
    <col min="2583" max="2583" width="16.5" style="45" customWidth="1"/>
    <col min="2584" max="2584" width="2.1640625" style="45" customWidth="1"/>
    <col min="2585" max="2585" width="12" style="45" customWidth="1"/>
    <col min="2586" max="2586" width="8.1640625" style="45" customWidth="1"/>
    <col min="2587" max="2587" width="17" style="45" customWidth="1"/>
    <col min="2588" max="2588" width="2.33203125" style="45" customWidth="1"/>
    <col min="2589" max="2589" width="12" style="45" customWidth="1"/>
    <col min="2590" max="2590" width="8.5" style="45" customWidth="1"/>
    <col min="2591" max="2591" width="16.6640625" style="45" customWidth="1"/>
    <col min="2592" max="2592" width="2.6640625" style="45" customWidth="1"/>
    <col min="2593" max="2593" width="12" style="45" customWidth="1"/>
    <col min="2594" max="2594" width="8.83203125" style="45" customWidth="1"/>
    <col min="2595" max="2595" width="17.6640625" style="45" customWidth="1"/>
    <col min="2596" max="2596" width="2.1640625" style="45" customWidth="1"/>
    <col min="2597" max="2597" width="12" style="45" customWidth="1"/>
    <col min="2598" max="2598" width="3.1640625" style="45" customWidth="1"/>
    <col min="2599" max="2599" width="11.83203125" style="45" customWidth="1"/>
    <col min="2600" max="2600" width="4" style="45" customWidth="1"/>
    <col min="2601" max="2601" width="11.5" style="45" customWidth="1"/>
    <col min="2602" max="2602" width="2.5" style="45" customWidth="1"/>
    <col min="2603" max="2603" width="9.33203125" style="45"/>
    <col min="2604" max="2604" width="2" style="45" customWidth="1"/>
    <col min="2605" max="2605" width="2.6640625" style="45" customWidth="1"/>
    <col min="2606" max="2816" width="9.33203125" style="45"/>
    <col min="2817" max="2818" width="2.5" style="45" customWidth="1"/>
    <col min="2819" max="2819" width="2" style="45" customWidth="1"/>
    <col min="2820" max="2820" width="2.33203125" style="45" customWidth="1"/>
    <col min="2821" max="2821" width="18.6640625" style="45" customWidth="1"/>
    <col min="2822" max="2822" width="19" style="45" customWidth="1"/>
    <col min="2823" max="2823" width="19.33203125" style="45" customWidth="1"/>
    <col min="2824" max="2824" width="19.83203125" style="45" customWidth="1"/>
    <col min="2825" max="2825" width="19.1640625" style="45" customWidth="1"/>
    <col min="2826" max="2826" width="21.5" style="45" customWidth="1"/>
    <col min="2827" max="2827" width="2.1640625" style="45" customWidth="1"/>
    <col min="2828" max="2828" width="10.33203125" style="45" customWidth="1"/>
    <col min="2829" max="2829" width="2.5" style="45" customWidth="1"/>
    <col min="2830" max="2830" width="23.33203125" style="45" customWidth="1"/>
    <col min="2831" max="2831" width="13.83203125" style="45" customWidth="1"/>
    <col min="2832" max="2832" width="19" style="45" customWidth="1"/>
    <col min="2833" max="2834" width="10.33203125" style="45" customWidth="1"/>
    <col min="2835" max="2835" width="5.83203125" style="45" customWidth="1"/>
    <col min="2836" max="2836" width="24.5" style="45" customWidth="1"/>
    <col min="2837" max="2837" width="6.33203125" style="45" customWidth="1"/>
    <col min="2838" max="2838" width="2.6640625" style="45" customWidth="1"/>
    <col min="2839" max="2839" width="16.5" style="45" customWidth="1"/>
    <col min="2840" max="2840" width="2.1640625" style="45" customWidth="1"/>
    <col min="2841" max="2841" width="12" style="45" customWidth="1"/>
    <col min="2842" max="2842" width="8.1640625" style="45" customWidth="1"/>
    <col min="2843" max="2843" width="17" style="45" customWidth="1"/>
    <col min="2844" max="2844" width="2.33203125" style="45" customWidth="1"/>
    <col min="2845" max="2845" width="12" style="45" customWidth="1"/>
    <col min="2846" max="2846" width="8.5" style="45" customWidth="1"/>
    <col min="2847" max="2847" width="16.6640625" style="45" customWidth="1"/>
    <col min="2848" max="2848" width="2.6640625" style="45" customWidth="1"/>
    <col min="2849" max="2849" width="12" style="45" customWidth="1"/>
    <col min="2850" max="2850" width="8.83203125" style="45" customWidth="1"/>
    <col min="2851" max="2851" width="17.6640625" style="45" customWidth="1"/>
    <col min="2852" max="2852" width="2.1640625" style="45" customWidth="1"/>
    <col min="2853" max="2853" width="12" style="45" customWidth="1"/>
    <col min="2854" max="2854" width="3.1640625" style="45" customWidth="1"/>
    <col min="2855" max="2855" width="11.83203125" style="45" customWidth="1"/>
    <col min="2856" max="2856" width="4" style="45" customWidth="1"/>
    <col min="2857" max="2857" width="11.5" style="45" customWidth="1"/>
    <col min="2858" max="2858" width="2.5" style="45" customWidth="1"/>
    <col min="2859" max="2859" width="9.33203125" style="45"/>
    <col min="2860" max="2860" width="2" style="45" customWidth="1"/>
    <col min="2861" max="2861" width="2.6640625" style="45" customWidth="1"/>
    <col min="2862" max="3072" width="9.33203125" style="45"/>
    <col min="3073" max="3074" width="2.5" style="45" customWidth="1"/>
    <col min="3075" max="3075" width="2" style="45" customWidth="1"/>
    <col min="3076" max="3076" width="2.33203125" style="45" customWidth="1"/>
    <col min="3077" max="3077" width="18.6640625" style="45" customWidth="1"/>
    <col min="3078" max="3078" width="19" style="45" customWidth="1"/>
    <col min="3079" max="3079" width="19.33203125" style="45" customWidth="1"/>
    <col min="3080" max="3080" width="19.83203125" style="45" customWidth="1"/>
    <col min="3081" max="3081" width="19.1640625" style="45" customWidth="1"/>
    <col min="3082" max="3082" width="21.5" style="45" customWidth="1"/>
    <col min="3083" max="3083" width="2.1640625" style="45" customWidth="1"/>
    <col min="3084" max="3084" width="10.33203125" style="45" customWidth="1"/>
    <col min="3085" max="3085" width="2.5" style="45" customWidth="1"/>
    <col min="3086" max="3086" width="23.33203125" style="45" customWidth="1"/>
    <col min="3087" max="3087" width="13.83203125" style="45" customWidth="1"/>
    <col min="3088" max="3088" width="19" style="45" customWidth="1"/>
    <col min="3089" max="3090" width="10.33203125" style="45" customWidth="1"/>
    <col min="3091" max="3091" width="5.83203125" style="45" customWidth="1"/>
    <col min="3092" max="3092" width="24.5" style="45" customWidth="1"/>
    <col min="3093" max="3093" width="6.33203125" style="45" customWidth="1"/>
    <col min="3094" max="3094" width="2.6640625" style="45" customWidth="1"/>
    <col min="3095" max="3095" width="16.5" style="45" customWidth="1"/>
    <col min="3096" max="3096" width="2.1640625" style="45" customWidth="1"/>
    <col min="3097" max="3097" width="12" style="45" customWidth="1"/>
    <col min="3098" max="3098" width="8.1640625" style="45" customWidth="1"/>
    <col min="3099" max="3099" width="17" style="45" customWidth="1"/>
    <col min="3100" max="3100" width="2.33203125" style="45" customWidth="1"/>
    <col min="3101" max="3101" width="12" style="45" customWidth="1"/>
    <col min="3102" max="3102" width="8.5" style="45" customWidth="1"/>
    <col min="3103" max="3103" width="16.6640625" style="45" customWidth="1"/>
    <col min="3104" max="3104" width="2.6640625" style="45" customWidth="1"/>
    <col min="3105" max="3105" width="12" style="45" customWidth="1"/>
    <col min="3106" max="3106" width="8.83203125" style="45" customWidth="1"/>
    <col min="3107" max="3107" width="17.6640625" style="45" customWidth="1"/>
    <col min="3108" max="3108" width="2.1640625" style="45" customWidth="1"/>
    <col min="3109" max="3109" width="12" style="45" customWidth="1"/>
    <col min="3110" max="3110" width="3.1640625" style="45" customWidth="1"/>
    <col min="3111" max="3111" width="11.83203125" style="45" customWidth="1"/>
    <col min="3112" max="3112" width="4" style="45" customWidth="1"/>
    <col min="3113" max="3113" width="11.5" style="45" customWidth="1"/>
    <col min="3114" max="3114" width="2.5" style="45" customWidth="1"/>
    <col min="3115" max="3115" width="9.33203125" style="45"/>
    <col min="3116" max="3116" width="2" style="45" customWidth="1"/>
    <col min="3117" max="3117" width="2.6640625" style="45" customWidth="1"/>
    <col min="3118" max="3328" width="9.33203125" style="45"/>
    <col min="3329" max="3330" width="2.5" style="45" customWidth="1"/>
    <col min="3331" max="3331" width="2" style="45" customWidth="1"/>
    <col min="3332" max="3332" width="2.33203125" style="45" customWidth="1"/>
    <col min="3333" max="3333" width="18.6640625" style="45" customWidth="1"/>
    <col min="3334" max="3334" width="19" style="45" customWidth="1"/>
    <col min="3335" max="3335" width="19.33203125" style="45" customWidth="1"/>
    <col min="3336" max="3336" width="19.83203125" style="45" customWidth="1"/>
    <col min="3337" max="3337" width="19.1640625" style="45" customWidth="1"/>
    <col min="3338" max="3338" width="21.5" style="45" customWidth="1"/>
    <col min="3339" max="3339" width="2.1640625" style="45" customWidth="1"/>
    <col min="3340" max="3340" width="10.33203125" style="45" customWidth="1"/>
    <col min="3341" max="3341" width="2.5" style="45" customWidth="1"/>
    <col min="3342" max="3342" width="23.33203125" style="45" customWidth="1"/>
    <col min="3343" max="3343" width="13.83203125" style="45" customWidth="1"/>
    <col min="3344" max="3344" width="19" style="45" customWidth="1"/>
    <col min="3345" max="3346" width="10.33203125" style="45" customWidth="1"/>
    <col min="3347" max="3347" width="5.83203125" style="45" customWidth="1"/>
    <col min="3348" max="3348" width="24.5" style="45" customWidth="1"/>
    <col min="3349" max="3349" width="6.33203125" style="45" customWidth="1"/>
    <col min="3350" max="3350" width="2.6640625" style="45" customWidth="1"/>
    <col min="3351" max="3351" width="16.5" style="45" customWidth="1"/>
    <col min="3352" max="3352" width="2.1640625" style="45" customWidth="1"/>
    <col min="3353" max="3353" width="12" style="45" customWidth="1"/>
    <col min="3354" max="3354" width="8.1640625" style="45" customWidth="1"/>
    <col min="3355" max="3355" width="17" style="45" customWidth="1"/>
    <col min="3356" max="3356" width="2.33203125" style="45" customWidth="1"/>
    <col min="3357" max="3357" width="12" style="45" customWidth="1"/>
    <col min="3358" max="3358" width="8.5" style="45" customWidth="1"/>
    <col min="3359" max="3359" width="16.6640625" style="45" customWidth="1"/>
    <col min="3360" max="3360" width="2.6640625" style="45" customWidth="1"/>
    <col min="3361" max="3361" width="12" style="45" customWidth="1"/>
    <col min="3362" max="3362" width="8.83203125" style="45" customWidth="1"/>
    <col min="3363" max="3363" width="17.6640625" style="45" customWidth="1"/>
    <col min="3364" max="3364" width="2.1640625" style="45" customWidth="1"/>
    <col min="3365" max="3365" width="12" style="45" customWidth="1"/>
    <col min="3366" max="3366" width="3.1640625" style="45" customWidth="1"/>
    <col min="3367" max="3367" width="11.83203125" style="45" customWidth="1"/>
    <col min="3368" max="3368" width="4" style="45" customWidth="1"/>
    <col min="3369" max="3369" width="11.5" style="45" customWidth="1"/>
    <col min="3370" max="3370" width="2.5" style="45" customWidth="1"/>
    <col min="3371" max="3371" width="9.33203125" style="45"/>
    <col min="3372" max="3372" width="2" style="45" customWidth="1"/>
    <col min="3373" max="3373" width="2.6640625" style="45" customWidth="1"/>
    <col min="3374" max="3584" width="9.33203125" style="45"/>
    <col min="3585" max="3586" width="2.5" style="45" customWidth="1"/>
    <col min="3587" max="3587" width="2" style="45" customWidth="1"/>
    <col min="3588" max="3588" width="2.33203125" style="45" customWidth="1"/>
    <col min="3589" max="3589" width="18.6640625" style="45" customWidth="1"/>
    <col min="3590" max="3590" width="19" style="45" customWidth="1"/>
    <col min="3591" max="3591" width="19.33203125" style="45" customWidth="1"/>
    <col min="3592" max="3592" width="19.83203125" style="45" customWidth="1"/>
    <col min="3593" max="3593" width="19.1640625" style="45" customWidth="1"/>
    <col min="3594" max="3594" width="21.5" style="45" customWidth="1"/>
    <col min="3595" max="3595" width="2.1640625" style="45" customWidth="1"/>
    <col min="3596" max="3596" width="10.33203125" style="45" customWidth="1"/>
    <col min="3597" max="3597" width="2.5" style="45" customWidth="1"/>
    <col min="3598" max="3598" width="23.33203125" style="45" customWidth="1"/>
    <col min="3599" max="3599" width="13.83203125" style="45" customWidth="1"/>
    <col min="3600" max="3600" width="19" style="45" customWidth="1"/>
    <col min="3601" max="3602" width="10.33203125" style="45" customWidth="1"/>
    <col min="3603" max="3603" width="5.83203125" style="45" customWidth="1"/>
    <col min="3604" max="3604" width="24.5" style="45" customWidth="1"/>
    <col min="3605" max="3605" width="6.33203125" style="45" customWidth="1"/>
    <col min="3606" max="3606" width="2.6640625" style="45" customWidth="1"/>
    <col min="3607" max="3607" width="16.5" style="45" customWidth="1"/>
    <col min="3608" max="3608" width="2.1640625" style="45" customWidth="1"/>
    <col min="3609" max="3609" width="12" style="45" customWidth="1"/>
    <col min="3610" max="3610" width="8.1640625" style="45" customWidth="1"/>
    <col min="3611" max="3611" width="17" style="45" customWidth="1"/>
    <col min="3612" max="3612" width="2.33203125" style="45" customWidth="1"/>
    <col min="3613" max="3613" width="12" style="45" customWidth="1"/>
    <col min="3614" max="3614" width="8.5" style="45" customWidth="1"/>
    <col min="3615" max="3615" width="16.6640625" style="45" customWidth="1"/>
    <col min="3616" max="3616" width="2.6640625" style="45" customWidth="1"/>
    <col min="3617" max="3617" width="12" style="45" customWidth="1"/>
    <col min="3618" max="3618" width="8.83203125" style="45" customWidth="1"/>
    <col min="3619" max="3619" width="17.6640625" style="45" customWidth="1"/>
    <col min="3620" max="3620" width="2.1640625" style="45" customWidth="1"/>
    <col min="3621" max="3621" width="12" style="45" customWidth="1"/>
    <col min="3622" max="3622" width="3.1640625" style="45" customWidth="1"/>
    <col min="3623" max="3623" width="11.83203125" style="45" customWidth="1"/>
    <col min="3624" max="3624" width="4" style="45" customWidth="1"/>
    <col min="3625" max="3625" width="11.5" style="45" customWidth="1"/>
    <col min="3626" max="3626" width="2.5" style="45" customWidth="1"/>
    <col min="3627" max="3627" width="9.33203125" style="45"/>
    <col min="3628" max="3628" width="2" style="45" customWidth="1"/>
    <col min="3629" max="3629" width="2.6640625" style="45" customWidth="1"/>
    <col min="3630" max="3840" width="9.33203125" style="45"/>
    <col min="3841" max="3842" width="2.5" style="45" customWidth="1"/>
    <col min="3843" max="3843" width="2" style="45" customWidth="1"/>
    <col min="3844" max="3844" width="2.33203125" style="45" customWidth="1"/>
    <col min="3845" max="3845" width="18.6640625" style="45" customWidth="1"/>
    <col min="3846" max="3846" width="19" style="45" customWidth="1"/>
    <col min="3847" max="3847" width="19.33203125" style="45" customWidth="1"/>
    <col min="3848" max="3848" width="19.83203125" style="45" customWidth="1"/>
    <col min="3849" max="3849" width="19.1640625" style="45" customWidth="1"/>
    <col min="3850" max="3850" width="21.5" style="45" customWidth="1"/>
    <col min="3851" max="3851" width="2.1640625" style="45" customWidth="1"/>
    <col min="3852" max="3852" width="10.33203125" style="45" customWidth="1"/>
    <col min="3853" max="3853" width="2.5" style="45" customWidth="1"/>
    <col min="3854" max="3854" width="23.33203125" style="45" customWidth="1"/>
    <col min="3855" max="3855" width="13.83203125" style="45" customWidth="1"/>
    <col min="3856" max="3856" width="19" style="45" customWidth="1"/>
    <col min="3857" max="3858" width="10.33203125" style="45" customWidth="1"/>
    <col min="3859" max="3859" width="5.83203125" style="45" customWidth="1"/>
    <col min="3860" max="3860" width="24.5" style="45" customWidth="1"/>
    <col min="3861" max="3861" width="6.33203125" style="45" customWidth="1"/>
    <col min="3862" max="3862" width="2.6640625" style="45" customWidth="1"/>
    <col min="3863" max="3863" width="16.5" style="45" customWidth="1"/>
    <col min="3864" max="3864" width="2.1640625" style="45" customWidth="1"/>
    <col min="3865" max="3865" width="12" style="45" customWidth="1"/>
    <col min="3866" max="3866" width="8.1640625" style="45" customWidth="1"/>
    <col min="3867" max="3867" width="17" style="45" customWidth="1"/>
    <col min="3868" max="3868" width="2.33203125" style="45" customWidth="1"/>
    <col min="3869" max="3869" width="12" style="45" customWidth="1"/>
    <col min="3870" max="3870" width="8.5" style="45" customWidth="1"/>
    <col min="3871" max="3871" width="16.6640625" style="45" customWidth="1"/>
    <col min="3872" max="3872" width="2.6640625" style="45" customWidth="1"/>
    <col min="3873" max="3873" width="12" style="45" customWidth="1"/>
    <col min="3874" max="3874" width="8.83203125" style="45" customWidth="1"/>
    <col min="3875" max="3875" width="17.6640625" style="45" customWidth="1"/>
    <col min="3876" max="3876" width="2.1640625" style="45" customWidth="1"/>
    <col min="3877" max="3877" width="12" style="45" customWidth="1"/>
    <col min="3878" max="3878" width="3.1640625" style="45" customWidth="1"/>
    <col min="3879" max="3879" width="11.83203125" style="45" customWidth="1"/>
    <col min="3880" max="3880" width="4" style="45" customWidth="1"/>
    <col min="3881" max="3881" width="11.5" style="45" customWidth="1"/>
    <col min="3882" max="3882" width="2.5" style="45" customWidth="1"/>
    <col min="3883" max="3883" width="9.33203125" style="45"/>
    <col min="3884" max="3884" width="2" style="45" customWidth="1"/>
    <col min="3885" max="3885" width="2.6640625" style="45" customWidth="1"/>
    <col min="3886" max="4096" width="9.33203125" style="45"/>
    <col min="4097" max="4098" width="2.5" style="45" customWidth="1"/>
    <col min="4099" max="4099" width="2" style="45" customWidth="1"/>
    <col min="4100" max="4100" width="2.33203125" style="45" customWidth="1"/>
    <col min="4101" max="4101" width="18.6640625" style="45" customWidth="1"/>
    <col min="4102" max="4102" width="19" style="45" customWidth="1"/>
    <col min="4103" max="4103" width="19.33203125" style="45" customWidth="1"/>
    <col min="4104" max="4104" width="19.83203125" style="45" customWidth="1"/>
    <col min="4105" max="4105" width="19.1640625" style="45" customWidth="1"/>
    <col min="4106" max="4106" width="21.5" style="45" customWidth="1"/>
    <col min="4107" max="4107" width="2.1640625" style="45" customWidth="1"/>
    <col min="4108" max="4108" width="10.33203125" style="45" customWidth="1"/>
    <col min="4109" max="4109" width="2.5" style="45" customWidth="1"/>
    <col min="4110" max="4110" width="23.33203125" style="45" customWidth="1"/>
    <col min="4111" max="4111" width="13.83203125" style="45" customWidth="1"/>
    <col min="4112" max="4112" width="19" style="45" customWidth="1"/>
    <col min="4113" max="4114" width="10.33203125" style="45" customWidth="1"/>
    <col min="4115" max="4115" width="5.83203125" style="45" customWidth="1"/>
    <col min="4116" max="4116" width="24.5" style="45" customWidth="1"/>
    <col min="4117" max="4117" width="6.33203125" style="45" customWidth="1"/>
    <col min="4118" max="4118" width="2.6640625" style="45" customWidth="1"/>
    <col min="4119" max="4119" width="16.5" style="45" customWidth="1"/>
    <col min="4120" max="4120" width="2.1640625" style="45" customWidth="1"/>
    <col min="4121" max="4121" width="12" style="45" customWidth="1"/>
    <col min="4122" max="4122" width="8.1640625" style="45" customWidth="1"/>
    <col min="4123" max="4123" width="17" style="45" customWidth="1"/>
    <col min="4124" max="4124" width="2.33203125" style="45" customWidth="1"/>
    <col min="4125" max="4125" width="12" style="45" customWidth="1"/>
    <col min="4126" max="4126" width="8.5" style="45" customWidth="1"/>
    <col min="4127" max="4127" width="16.6640625" style="45" customWidth="1"/>
    <col min="4128" max="4128" width="2.6640625" style="45" customWidth="1"/>
    <col min="4129" max="4129" width="12" style="45" customWidth="1"/>
    <col min="4130" max="4130" width="8.83203125" style="45" customWidth="1"/>
    <col min="4131" max="4131" width="17.6640625" style="45" customWidth="1"/>
    <col min="4132" max="4132" width="2.1640625" style="45" customWidth="1"/>
    <col min="4133" max="4133" width="12" style="45" customWidth="1"/>
    <col min="4134" max="4134" width="3.1640625" style="45" customWidth="1"/>
    <col min="4135" max="4135" width="11.83203125" style="45" customWidth="1"/>
    <col min="4136" max="4136" width="4" style="45" customWidth="1"/>
    <col min="4137" max="4137" width="11.5" style="45" customWidth="1"/>
    <col min="4138" max="4138" width="2.5" style="45" customWidth="1"/>
    <col min="4139" max="4139" width="9.33203125" style="45"/>
    <col min="4140" max="4140" width="2" style="45" customWidth="1"/>
    <col min="4141" max="4141" width="2.6640625" style="45" customWidth="1"/>
    <col min="4142" max="4352" width="9.33203125" style="45"/>
    <col min="4353" max="4354" width="2.5" style="45" customWidth="1"/>
    <col min="4355" max="4355" width="2" style="45" customWidth="1"/>
    <col min="4356" max="4356" width="2.33203125" style="45" customWidth="1"/>
    <col min="4357" max="4357" width="18.6640625" style="45" customWidth="1"/>
    <col min="4358" max="4358" width="19" style="45" customWidth="1"/>
    <col min="4359" max="4359" width="19.33203125" style="45" customWidth="1"/>
    <col min="4360" max="4360" width="19.83203125" style="45" customWidth="1"/>
    <col min="4361" max="4361" width="19.1640625" style="45" customWidth="1"/>
    <col min="4362" max="4362" width="21.5" style="45" customWidth="1"/>
    <col min="4363" max="4363" width="2.1640625" style="45" customWidth="1"/>
    <col min="4364" max="4364" width="10.33203125" style="45" customWidth="1"/>
    <col min="4365" max="4365" width="2.5" style="45" customWidth="1"/>
    <col min="4366" max="4366" width="23.33203125" style="45" customWidth="1"/>
    <col min="4367" max="4367" width="13.83203125" style="45" customWidth="1"/>
    <col min="4368" max="4368" width="19" style="45" customWidth="1"/>
    <col min="4369" max="4370" width="10.33203125" style="45" customWidth="1"/>
    <col min="4371" max="4371" width="5.83203125" style="45" customWidth="1"/>
    <col min="4372" max="4372" width="24.5" style="45" customWidth="1"/>
    <col min="4373" max="4373" width="6.33203125" style="45" customWidth="1"/>
    <col min="4374" max="4374" width="2.6640625" style="45" customWidth="1"/>
    <col min="4375" max="4375" width="16.5" style="45" customWidth="1"/>
    <col min="4376" max="4376" width="2.1640625" style="45" customWidth="1"/>
    <col min="4377" max="4377" width="12" style="45" customWidth="1"/>
    <col min="4378" max="4378" width="8.1640625" style="45" customWidth="1"/>
    <col min="4379" max="4379" width="17" style="45" customWidth="1"/>
    <col min="4380" max="4380" width="2.33203125" style="45" customWidth="1"/>
    <col min="4381" max="4381" width="12" style="45" customWidth="1"/>
    <col min="4382" max="4382" width="8.5" style="45" customWidth="1"/>
    <col min="4383" max="4383" width="16.6640625" style="45" customWidth="1"/>
    <col min="4384" max="4384" width="2.6640625" style="45" customWidth="1"/>
    <col min="4385" max="4385" width="12" style="45" customWidth="1"/>
    <col min="4386" max="4386" width="8.83203125" style="45" customWidth="1"/>
    <col min="4387" max="4387" width="17.6640625" style="45" customWidth="1"/>
    <col min="4388" max="4388" width="2.1640625" style="45" customWidth="1"/>
    <col min="4389" max="4389" width="12" style="45" customWidth="1"/>
    <col min="4390" max="4390" width="3.1640625" style="45" customWidth="1"/>
    <col min="4391" max="4391" width="11.83203125" style="45" customWidth="1"/>
    <col min="4392" max="4392" width="4" style="45" customWidth="1"/>
    <col min="4393" max="4393" width="11.5" style="45" customWidth="1"/>
    <col min="4394" max="4394" width="2.5" style="45" customWidth="1"/>
    <col min="4395" max="4395" width="9.33203125" style="45"/>
    <col min="4396" max="4396" width="2" style="45" customWidth="1"/>
    <col min="4397" max="4397" width="2.6640625" style="45" customWidth="1"/>
    <col min="4398" max="4608" width="9.33203125" style="45"/>
    <col min="4609" max="4610" width="2.5" style="45" customWidth="1"/>
    <col min="4611" max="4611" width="2" style="45" customWidth="1"/>
    <col min="4612" max="4612" width="2.33203125" style="45" customWidth="1"/>
    <col min="4613" max="4613" width="18.6640625" style="45" customWidth="1"/>
    <col min="4614" max="4614" width="19" style="45" customWidth="1"/>
    <col min="4615" max="4615" width="19.33203125" style="45" customWidth="1"/>
    <col min="4616" max="4616" width="19.83203125" style="45" customWidth="1"/>
    <col min="4617" max="4617" width="19.1640625" style="45" customWidth="1"/>
    <col min="4618" max="4618" width="21.5" style="45" customWidth="1"/>
    <col min="4619" max="4619" width="2.1640625" style="45" customWidth="1"/>
    <col min="4620" max="4620" width="10.33203125" style="45" customWidth="1"/>
    <col min="4621" max="4621" width="2.5" style="45" customWidth="1"/>
    <col min="4622" max="4622" width="23.33203125" style="45" customWidth="1"/>
    <col min="4623" max="4623" width="13.83203125" style="45" customWidth="1"/>
    <col min="4624" max="4624" width="19" style="45" customWidth="1"/>
    <col min="4625" max="4626" width="10.33203125" style="45" customWidth="1"/>
    <col min="4627" max="4627" width="5.83203125" style="45" customWidth="1"/>
    <col min="4628" max="4628" width="24.5" style="45" customWidth="1"/>
    <col min="4629" max="4629" width="6.33203125" style="45" customWidth="1"/>
    <col min="4630" max="4630" width="2.6640625" style="45" customWidth="1"/>
    <col min="4631" max="4631" width="16.5" style="45" customWidth="1"/>
    <col min="4632" max="4632" width="2.1640625" style="45" customWidth="1"/>
    <col min="4633" max="4633" width="12" style="45" customWidth="1"/>
    <col min="4634" max="4634" width="8.1640625" style="45" customWidth="1"/>
    <col min="4635" max="4635" width="17" style="45" customWidth="1"/>
    <col min="4636" max="4636" width="2.33203125" style="45" customWidth="1"/>
    <col min="4637" max="4637" width="12" style="45" customWidth="1"/>
    <col min="4638" max="4638" width="8.5" style="45" customWidth="1"/>
    <col min="4639" max="4639" width="16.6640625" style="45" customWidth="1"/>
    <col min="4640" max="4640" width="2.6640625" style="45" customWidth="1"/>
    <col min="4641" max="4641" width="12" style="45" customWidth="1"/>
    <col min="4642" max="4642" width="8.83203125" style="45" customWidth="1"/>
    <col min="4643" max="4643" width="17.6640625" style="45" customWidth="1"/>
    <col min="4644" max="4644" width="2.1640625" style="45" customWidth="1"/>
    <col min="4645" max="4645" width="12" style="45" customWidth="1"/>
    <col min="4646" max="4646" width="3.1640625" style="45" customWidth="1"/>
    <col min="4647" max="4647" width="11.83203125" style="45" customWidth="1"/>
    <col min="4648" max="4648" width="4" style="45" customWidth="1"/>
    <col min="4649" max="4649" width="11.5" style="45" customWidth="1"/>
    <col min="4650" max="4650" width="2.5" style="45" customWidth="1"/>
    <col min="4651" max="4651" width="9.33203125" style="45"/>
    <col min="4652" max="4652" width="2" style="45" customWidth="1"/>
    <col min="4653" max="4653" width="2.6640625" style="45" customWidth="1"/>
    <col min="4654" max="4864" width="9.33203125" style="45"/>
    <col min="4865" max="4866" width="2.5" style="45" customWidth="1"/>
    <col min="4867" max="4867" width="2" style="45" customWidth="1"/>
    <col min="4868" max="4868" width="2.33203125" style="45" customWidth="1"/>
    <col min="4869" max="4869" width="18.6640625" style="45" customWidth="1"/>
    <col min="4870" max="4870" width="19" style="45" customWidth="1"/>
    <col min="4871" max="4871" width="19.33203125" style="45" customWidth="1"/>
    <col min="4872" max="4872" width="19.83203125" style="45" customWidth="1"/>
    <col min="4873" max="4873" width="19.1640625" style="45" customWidth="1"/>
    <col min="4874" max="4874" width="21.5" style="45" customWidth="1"/>
    <col min="4875" max="4875" width="2.1640625" style="45" customWidth="1"/>
    <col min="4876" max="4876" width="10.33203125" style="45" customWidth="1"/>
    <col min="4877" max="4877" width="2.5" style="45" customWidth="1"/>
    <col min="4878" max="4878" width="23.33203125" style="45" customWidth="1"/>
    <col min="4879" max="4879" width="13.83203125" style="45" customWidth="1"/>
    <col min="4880" max="4880" width="19" style="45" customWidth="1"/>
    <col min="4881" max="4882" width="10.33203125" style="45" customWidth="1"/>
    <col min="4883" max="4883" width="5.83203125" style="45" customWidth="1"/>
    <col min="4884" max="4884" width="24.5" style="45" customWidth="1"/>
    <col min="4885" max="4885" width="6.33203125" style="45" customWidth="1"/>
    <col min="4886" max="4886" width="2.6640625" style="45" customWidth="1"/>
    <col min="4887" max="4887" width="16.5" style="45" customWidth="1"/>
    <col min="4888" max="4888" width="2.1640625" style="45" customWidth="1"/>
    <col min="4889" max="4889" width="12" style="45" customWidth="1"/>
    <col min="4890" max="4890" width="8.1640625" style="45" customWidth="1"/>
    <col min="4891" max="4891" width="17" style="45" customWidth="1"/>
    <col min="4892" max="4892" width="2.33203125" style="45" customWidth="1"/>
    <col min="4893" max="4893" width="12" style="45" customWidth="1"/>
    <col min="4894" max="4894" width="8.5" style="45" customWidth="1"/>
    <col min="4895" max="4895" width="16.6640625" style="45" customWidth="1"/>
    <col min="4896" max="4896" width="2.6640625" style="45" customWidth="1"/>
    <col min="4897" max="4897" width="12" style="45" customWidth="1"/>
    <col min="4898" max="4898" width="8.83203125" style="45" customWidth="1"/>
    <col min="4899" max="4899" width="17.6640625" style="45" customWidth="1"/>
    <col min="4900" max="4900" width="2.1640625" style="45" customWidth="1"/>
    <col min="4901" max="4901" width="12" style="45" customWidth="1"/>
    <col min="4902" max="4902" width="3.1640625" style="45" customWidth="1"/>
    <col min="4903" max="4903" width="11.83203125" style="45" customWidth="1"/>
    <col min="4904" max="4904" width="4" style="45" customWidth="1"/>
    <col min="4905" max="4905" width="11.5" style="45" customWidth="1"/>
    <col min="4906" max="4906" width="2.5" style="45" customWidth="1"/>
    <col min="4907" max="4907" width="9.33203125" style="45"/>
    <col min="4908" max="4908" width="2" style="45" customWidth="1"/>
    <col min="4909" max="4909" width="2.6640625" style="45" customWidth="1"/>
    <col min="4910" max="5120" width="9.33203125" style="45"/>
    <col min="5121" max="5122" width="2.5" style="45" customWidth="1"/>
    <col min="5123" max="5123" width="2" style="45" customWidth="1"/>
    <col min="5124" max="5124" width="2.33203125" style="45" customWidth="1"/>
    <col min="5125" max="5125" width="18.6640625" style="45" customWidth="1"/>
    <col min="5126" max="5126" width="19" style="45" customWidth="1"/>
    <col min="5127" max="5127" width="19.33203125" style="45" customWidth="1"/>
    <col min="5128" max="5128" width="19.83203125" style="45" customWidth="1"/>
    <col min="5129" max="5129" width="19.1640625" style="45" customWidth="1"/>
    <col min="5130" max="5130" width="21.5" style="45" customWidth="1"/>
    <col min="5131" max="5131" width="2.1640625" style="45" customWidth="1"/>
    <col min="5132" max="5132" width="10.33203125" style="45" customWidth="1"/>
    <col min="5133" max="5133" width="2.5" style="45" customWidth="1"/>
    <col min="5134" max="5134" width="23.33203125" style="45" customWidth="1"/>
    <col min="5135" max="5135" width="13.83203125" style="45" customWidth="1"/>
    <col min="5136" max="5136" width="19" style="45" customWidth="1"/>
    <col min="5137" max="5138" width="10.33203125" style="45" customWidth="1"/>
    <col min="5139" max="5139" width="5.83203125" style="45" customWidth="1"/>
    <col min="5140" max="5140" width="24.5" style="45" customWidth="1"/>
    <col min="5141" max="5141" width="6.33203125" style="45" customWidth="1"/>
    <col min="5142" max="5142" width="2.6640625" style="45" customWidth="1"/>
    <col min="5143" max="5143" width="16.5" style="45" customWidth="1"/>
    <col min="5144" max="5144" width="2.1640625" style="45" customWidth="1"/>
    <col min="5145" max="5145" width="12" style="45" customWidth="1"/>
    <col min="5146" max="5146" width="8.1640625" style="45" customWidth="1"/>
    <col min="5147" max="5147" width="17" style="45" customWidth="1"/>
    <col min="5148" max="5148" width="2.33203125" style="45" customWidth="1"/>
    <col min="5149" max="5149" width="12" style="45" customWidth="1"/>
    <col min="5150" max="5150" width="8.5" style="45" customWidth="1"/>
    <col min="5151" max="5151" width="16.6640625" style="45" customWidth="1"/>
    <col min="5152" max="5152" width="2.6640625" style="45" customWidth="1"/>
    <col min="5153" max="5153" width="12" style="45" customWidth="1"/>
    <col min="5154" max="5154" width="8.83203125" style="45" customWidth="1"/>
    <col min="5155" max="5155" width="17.6640625" style="45" customWidth="1"/>
    <col min="5156" max="5156" width="2.1640625" style="45" customWidth="1"/>
    <col min="5157" max="5157" width="12" style="45" customWidth="1"/>
    <col min="5158" max="5158" width="3.1640625" style="45" customWidth="1"/>
    <col min="5159" max="5159" width="11.83203125" style="45" customWidth="1"/>
    <col min="5160" max="5160" width="4" style="45" customWidth="1"/>
    <col min="5161" max="5161" width="11.5" style="45" customWidth="1"/>
    <col min="5162" max="5162" width="2.5" style="45" customWidth="1"/>
    <col min="5163" max="5163" width="9.33203125" style="45"/>
    <col min="5164" max="5164" width="2" style="45" customWidth="1"/>
    <col min="5165" max="5165" width="2.6640625" style="45" customWidth="1"/>
    <col min="5166" max="5376" width="9.33203125" style="45"/>
    <col min="5377" max="5378" width="2.5" style="45" customWidth="1"/>
    <col min="5379" max="5379" width="2" style="45" customWidth="1"/>
    <col min="5380" max="5380" width="2.33203125" style="45" customWidth="1"/>
    <col min="5381" max="5381" width="18.6640625" style="45" customWidth="1"/>
    <col min="5382" max="5382" width="19" style="45" customWidth="1"/>
    <col min="5383" max="5383" width="19.33203125" style="45" customWidth="1"/>
    <col min="5384" max="5384" width="19.83203125" style="45" customWidth="1"/>
    <col min="5385" max="5385" width="19.1640625" style="45" customWidth="1"/>
    <col min="5386" max="5386" width="21.5" style="45" customWidth="1"/>
    <col min="5387" max="5387" width="2.1640625" style="45" customWidth="1"/>
    <col min="5388" max="5388" width="10.33203125" style="45" customWidth="1"/>
    <col min="5389" max="5389" width="2.5" style="45" customWidth="1"/>
    <col min="5390" max="5390" width="23.33203125" style="45" customWidth="1"/>
    <col min="5391" max="5391" width="13.83203125" style="45" customWidth="1"/>
    <col min="5392" max="5392" width="19" style="45" customWidth="1"/>
    <col min="5393" max="5394" width="10.33203125" style="45" customWidth="1"/>
    <col min="5395" max="5395" width="5.83203125" style="45" customWidth="1"/>
    <col min="5396" max="5396" width="24.5" style="45" customWidth="1"/>
    <col min="5397" max="5397" width="6.33203125" style="45" customWidth="1"/>
    <col min="5398" max="5398" width="2.6640625" style="45" customWidth="1"/>
    <col min="5399" max="5399" width="16.5" style="45" customWidth="1"/>
    <col min="5400" max="5400" width="2.1640625" style="45" customWidth="1"/>
    <col min="5401" max="5401" width="12" style="45" customWidth="1"/>
    <col min="5402" max="5402" width="8.1640625" style="45" customWidth="1"/>
    <col min="5403" max="5403" width="17" style="45" customWidth="1"/>
    <col min="5404" max="5404" width="2.33203125" style="45" customWidth="1"/>
    <col min="5405" max="5405" width="12" style="45" customWidth="1"/>
    <col min="5406" max="5406" width="8.5" style="45" customWidth="1"/>
    <col min="5407" max="5407" width="16.6640625" style="45" customWidth="1"/>
    <col min="5408" max="5408" width="2.6640625" style="45" customWidth="1"/>
    <col min="5409" max="5409" width="12" style="45" customWidth="1"/>
    <col min="5410" max="5410" width="8.83203125" style="45" customWidth="1"/>
    <col min="5411" max="5411" width="17.6640625" style="45" customWidth="1"/>
    <col min="5412" max="5412" width="2.1640625" style="45" customWidth="1"/>
    <col min="5413" max="5413" width="12" style="45" customWidth="1"/>
    <col min="5414" max="5414" width="3.1640625" style="45" customWidth="1"/>
    <col min="5415" max="5415" width="11.83203125" style="45" customWidth="1"/>
    <col min="5416" max="5416" width="4" style="45" customWidth="1"/>
    <col min="5417" max="5417" width="11.5" style="45" customWidth="1"/>
    <col min="5418" max="5418" width="2.5" style="45" customWidth="1"/>
    <col min="5419" max="5419" width="9.33203125" style="45"/>
    <col min="5420" max="5420" width="2" style="45" customWidth="1"/>
    <col min="5421" max="5421" width="2.6640625" style="45" customWidth="1"/>
    <col min="5422" max="5632" width="9.33203125" style="45"/>
    <col min="5633" max="5634" width="2.5" style="45" customWidth="1"/>
    <col min="5635" max="5635" width="2" style="45" customWidth="1"/>
    <col min="5636" max="5636" width="2.33203125" style="45" customWidth="1"/>
    <col min="5637" max="5637" width="18.6640625" style="45" customWidth="1"/>
    <col min="5638" max="5638" width="19" style="45" customWidth="1"/>
    <col min="5639" max="5639" width="19.33203125" style="45" customWidth="1"/>
    <col min="5640" max="5640" width="19.83203125" style="45" customWidth="1"/>
    <col min="5641" max="5641" width="19.1640625" style="45" customWidth="1"/>
    <col min="5642" max="5642" width="21.5" style="45" customWidth="1"/>
    <col min="5643" max="5643" width="2.1640625" style="45" customWidth="1"/>
    <col min="5644" max="5644" width="10.33203125" style="45" customWidth="1"/>
    <col min="5645" max="5645" width="2.5" style="45" customWidth="1"/>
    <col min="5646" max="5646" width="23.33203125" style="45" customWidth="1"/>
    <col min="5647" max="5647" width="13.83203125" style="45" customWidth="1"/>
    <col min="5648" max="5648" width="19" style="45" customWidth="1"/>
    <col min="5649" max="5650" width="10.33203125" style="45" customWidth="1"/>
    <col min="5651" max="5651" width="5.83203125" style="45" customWidth="1"/>
    <col min="5652" max="5652" width="24.5" style="45" customWidth="1"/>
    <col min="5653" max="5653" width="6.33203125" style="45" customWidth="1"/>
    <col min="5654" max="5654" width="2.6640625" style="45" customWidth="1"/>
    <col min="5655" max="5655" width="16.5" style="45" customWidth="1"/>
    <col min="5656" max="5656" width="2.1640625" style="45" customWidth="1"/>
    <col min="5657" max="5657" width="12" style="45" customWidth="1"/>
    <col min="5658" max="5658" width="8.1640625" style="45" customWidth="1"/>
    <col min="5659" max="5659" width="17" style="45" customWidth="1"/>
    <col min="5660" max="5660" width="2.33203125" style="45" customWidth="1"/>
    <col min="5661" max="5661" width="12" style="45" customWidth="1"/>
    <col min="5662" max="5662" width="8.5" style="45" customWidth="1"/>
    <col min="5663" max="5663" width="16.6640625" style="45" customWidth="1"/>
    <col min="5664" max="5664" width="2.6640625" style="45" customWidth="1"/>
    <col min="5665" max="5665" width="12" style="45" customWidth="1"/>
    <col min="5666" max="5666" width="8.83203125" style="45" customWidth="1"/>
    <col min="5667" max="5667" width="17.6640625" style="45" customWidth="1"/>
    <col min="5668" max="5668" width="2.1640625" style="45" customWidth="1"/>
    <col min="5669" max="5669" width="12" style="45" customWidth="1"/>
    <col min="5670" max="5670" width="3.1640625" style="45" customWidth="1"/>
    <col min="5671" max="5671" width="11.83203125" style="45" customWidth="1"/>
    <col min="5672" max="5672" width="4" style="45" customWidth="1"/>
    <col min="5673" max="5673" width="11.5" style="45" customWidth="1"/>
    <col min="5674" max="5674" width="2.5" style="45" customWidth="1"/>
    <col min="5675" max="5675" width="9.33203125" style="45"/>
    <col min="5676" max="5676" width="2" style="45" customWidth="1"/>
    <col min="5677" max="5677" width="2.6640625" style="45" customWidth="1"/>
    <col min="5678" max="5888" width="9.33203125" style="45"/>
    <col min="5889" max="5890" width="2.5" style="45" customWidth="1"/>
    <col min="5891" max="5891" width="2" style="45" customWidth="1"/>
    <col min="5892" max="5892" width="2.33203125" style="45" customWidth="1"/>
    <col min="5893" max="5893" width="18.6640625" style="45" customWidth="1"/>
    <col min="5894" max="5894" width="19" style="45" customWidth="1"/>
    <col min="5895" max="5895" width="19.33203125" style="45" customWidth="1"/>
    <col min="5896" max="5896" width="19.83203125" style="45" customWidth="1"/>
    <col min="5897" max="5897" width="19.1640625" style="45" customWidth="1"/>
    <col min="5898" max="5898" width="21.5" style="45" customWidth="1"/>
    <col min="5899" max="5899" width="2.1640625" style="45" customWidth="1"/>
    <col min="5900" max="5900" width="10.33203125" style="45" customWidth="1"/>
    <col min="5901" max="5901" width="2.5" style="45" customWidth="1"/>
    <col min="5902" max="5902" width="23.33203125" style="45" customWidth="1"/>
    <col min="5903" max="5903" width="13.83203125" style="45" customWidth="1"/>
    <col min="5904" max="5904" width="19" style="45" customWidth="1"/>
    <col min="5905" max="5906" width="10.33203125" style="45" customWidth="1"/>
    <col min="5907" max="5907" width="5.83203125" style="45" customWidth="1"/>
    <col min="5908" max="5908" width="24.5" style="45" customWidth="1"/>
    <col min="5909" max="5909" width="6.33203125" style="45" customWidth="1"/>
    <col min="5910" max="5910" width="2.6640625" style="45" customWidth="1"/>
    <col min="5911" max="5911" width="16.5" style="45" customWidth="1"/>
    <col min="5912" max="5912" width="2.1640625" style="45" customWidth="1"/>
    <col min="5913" max="5913" width="12" style="45" customWidth="1"/>
    <col min="5914" max="5914" width="8.1640625" style="45" customWidth="1"/>
    <col min="5915" max="5915" width="17" style="45" customWidth="1"/>
    <col min="5916" max="5916" width="2.33203125" style="45" customWidth="1"/>
    <col min="5917" max="5917" width="12" style="45" customWidth="1"/>
    <col min="5918" max="5918" width="8.5" style="45" customWidth="1"/>
    <col min="5919" max="5919" width="16.6640625" style="45" customWidth="1"/>
    <col min="5920" max="5920" width="2.6640625" style="45" customWidth="1"/>
    <col min="5921" max="5921" width="12" style="45" customWidth="1"/>
    <col min="5922" max="5922" width="8.83203125" style="45" customWidth="1"/>
    <col min="5923" max="5923" width="17.6640625" style="45" customWidth="1"/>
    <col min="5924" max="5924" width="2.1640625" style="45" customWidth="1"/>
    <col min="5925" max="5925" width="12" style="45" customWidth="1"/>
    <col min="5926" max="5926" width="3.1640625" style="45" customWidth="1"/>
    <col min="5927" max="5927" width="11.83203125" style="45" customWidth="1"/>
    <col min="5928" max="5928" width="4" style="45" customWidth="1"/>
    <col min="5929" max="5929" width="11.5" style="45" customWidth="1"/>
    <col min="5930" max="5930" width="2.5" style="45" customWidth="1"/>
    <col min="5931" max="5931" width="9.33203125" style="45"/>
    <col min="5932" max="5932" width="2" style="45" customWidth="1"/>
    <col min="5933" max="5933" width="2.6640625" style="45" customWidth="1"/>
    <col min="5934" max="6144" width="9.33203125" style="45"/>
    <col min="6145" max="6146" width="2.5" style="45" customWidth="1"/>
    <col min="6147" max="6147" width="2" style="45" customWidth="1"/>
    <col min="6148" max="6148" width="2.33203125" style="45" customWidth="1"/>
    <col min="6149" max="6149" width="18.6640625" style="45" customWidth="1"/>
    <col min="6150" max="6150" width="19" style="45" customWidth="1"/>
    <col min="6151" max="6151" width="19.33203125" style="45" customWidth="1"/>
    <col min="6152" max="6152" width="19.83203125" style="45" customWidth="1"/>
    <col min="6153" max="6153" width="19.1640625" style="45" customWidth="1"/>
    <col min="6154" max="6154" width="21.5" style="45" customWidth="1"/>
    <col min="6155" max="6155" width="2.1640625" style="45" customWidth="1"/>
    <col min="6156" max="6156" width="10.33203125" style="45" customWidth="1"/>
    <col min="6157" max="6157" width="2.5" style="45" customWidth="1"/>
    <col min="6158" max="6158" width="23.33203125" style="45" customWidth="1"/>
    <col min="6159" max="6159" width="13.83203125" style="45" customWidth="1"/>
    <col min="6160" max="6160" width="19" style="45" customWidth="1"/>
    <col min="6161" max="6162" width="10.33203125" style="45" customWidth="1"/>
    <col min="6163" max="6163" width="5.83203125" style="45" customWidth="1"/>
    <col min="6164" max="6164" width="24.5" style="45" customWidth="1"/>
    <col min="6165" max="6165" width="6.33203125" style="45" customWidth="1"/>
    <col min="6166" max="6166" width="2.6640625" style="45" customWidth="1"/>
    <col min="6167" max="6167" width="16.5" style="45" customWidth="1"/>
    <col min="6168" max="6168" width="2.1640625" style="45" customWidth="1"/>
    <col min="6169" max="6169" width="12" style="45" customWidth="1"/>
    <col min="6170" max="6170" width="8.1640625" style="45" customWidth="1"/>
    <col min="6171" max="6171" width="17" style="45" customWidth="1"/>
    <col min="6172" max="6172" width="2.33203125" style="45" customWidth="1"/>
    <col min="6173" max="6173" width="12" style="45" customWidth="1"/>
    <col min="6174" max="6174" width="8.5" style="45" customWidth="1"/>
    <col min="6175" max="6175" width="16.6640625" style="45" customWidth="1"/>
    <col min="6176" max="6176" width="2.6640625" style="45" customWidth="1"/>
    <col min="6177" max="6177" width="12" style="45" customWidth="1"/>
    <col min="6178" max="6178" width="8.83203125" style="45" customWidth="1"/>
    <col min="6179" max="6179" width="17.6640625" style="45" customWidth="1"/>
    <col min="6180" max="6180" width="2.1640625" style="45" customWidth="1"/>
    <col min="6181" max="6181" width="12" style="45" customWidth="1"/>
    <col min="6182" max="6182" width="3.1640625" style="45" customWidth="1"/>
    <col min="6183" max="6183" width="11.83203125" style="45" customWidth="1"/>
    <col min="6184" max="6184" width="4" style="45" customWidth="1"/>
    <col min="6185" max="6185" width="11.5" style="45" customWidth="1"/>
    <col min="6186" max="6186" width="2.5" style="45" customWidth="1"/>
    <col min="6187" max="6187" width="9.33203125" style="45"/>
    <col min="6188" max="6188" width="2" style="45" customWidth="1"/>
    <col min="6189" max="6189" width="2.6640625" style="45" customWidth="1"/>
    <col min="6190" max="6400" width="9.33203125" style="45"/>
    <col min="6401" max="6402" width="2.5" style="45" customWidth="1"/>
    <col min="6403" max="6403" width="2" style="45" customWidth="1"/>
    <col min="6404" max="6404" width="2.33203125" style="45" customWidth="1"/>
    <col min="6405" max="6405" width="18.6640625" style="45" customWidth="1"/>
    <col min="6406" max="6406" width="19" style="45" customWidth="1"/>
    <col min="6407" max="6407" width="19.33203125" style="45" customWidth="1"/>
    <col min="6408" max="6408" width="19.83203125" style="45" customWidth="1"/>
    <col min="6409" max="6409" width="19.1640625" style="45" customWidth="1"/>
    <col min="6410" max="6410" width="21.5" style="45" customWidth="1"/>
    <col min="6411" max="6411" width="2.1640625" style="45" customWidth="1"/>
    <col min="6412" max="6412" width="10.33203125" style="45" customWidth="1"/>
    <col min="6413" max="6413" width="2.5" style="45" customWidth="1"/>
    <col min="6414" max="6414" width="23.33203125" style="45" customWidth="1"/>
    <col min="6415" max="6415" width="13.83203125" style="45" customWidth="1"/>
    <col min="6416" max="6416" width="19" style="45" customWidth="1"/>
    <col min="6417" max="6418" width="10.33203125" style="45" customWidth="1"/>
    <col min="6419" max="6419" width="5.83203125" style="45" customWidth="1"/>
    <col min="6420" max="6420" width="24.5" style="45" customWidth="1"/>
    <col min="6421" max="6421" width="6.33203125" style="45" customWidth="1"/>
    <col min="6422" max="6422" width="2.6640625" style="45" customWidth="1"/>
    <col min="6423" max="6423" width="16.5" style="45" customWidth="1"/>
    <col min="6424" max="6424" width="2.1640625" style="45" customWidth="1"/>
    <col min="6425" max="6425" width="12" style="45" customWidth="1"/>
    <col min="6426" max="6426" width="8.1640625" style="45" customWidth="1"/>
    <col min="6427" max="6427" width="17" style="45" customWidth="1"/>
    <col min="6428" max="6428" width="2.33203125" style="45" customWidth="1"/>
    <col min="6429" max="6429" width="12" style="45" customWidth="1"/>
    <col min="6430" max="6430" width="8.5" style="45" customWidth="1"/>
    <col min="6431" max="6431" width="16.6640625" style="45" customWidth="1"/>
    <col min="6432" max="6432" width="2.6640625" style="45" customWidth="1"/>
    <col min="6433" max="6433" width="12" style="45" customWidth="1"/>
    <col min="6434" max="6434" width="8.83203125" style="45" customWidth="1"/>
    <col min="6435" max="6435" width="17.6640625" style="45" customWidth="1"/>
    <col min="6436" max="6436" width="2.1640625" style="45" customWidth="1"/>
    <col min="6437" max="6437" width="12" style="45" customWidth="1"/>
    <col min="6438" max="6438" width="3.1640625" style="45" customWidth="1"/>
    <col min="6439" max="6439" width="11.83203125" style="45" customWidth="1"/>
    <col min="6440" max="6440" width="4" style="45" customWidth="1"/>
    <col min="6441" max="6441" width="11.5" style="45" customWidth="1"/>
    <col min="6442" max="6442" width="2.5" style="45" customWidth="1"/>
    <col min="6443" max="6443" width="9.33203125" style="45"/>
    <col min="6444" max="6444" width="2" style="45" customWidth="1"/>
    <col min="6445" max="6445" width="2.6640625" style="45" customWidth="1"/>
    <col min="6446" max="6656" width="9.33203125" style="45"/>
    <col min="6657" max="6658" width="2.5" style="45" customWidth="1"/>
    <col min="6659" max="6659" width="2" style="45" customWidth="1"/>
    <col min="6660" max="6660" width="2.33203125" style="45" customWidth="1"/>
    <col min="6661" max="6661" width="18.6640625" style="45" customWidth="1"/>
    <col min="6662" max="6662" width="19" style="45" customWidth="1"/>
    <col min="6663" max="6663" width="19.33203125" style="45" customWidth="1"/>
    <col min="6664" max="6664" width="19.83203125" style="45" customWidth="1"/>
    <col min="6665" max="6665" width="19.1640625" style="45" customWidth="1"/>
    <col min="6666" max="6666" width="21.5" style="45" customWidth="1"/>
    <col min="6667" max="6667" width="2.1640625" style="45" customWidth="1"/>
    <col min="6668" max="6668" width="10.33203125" style="45" customWidth="1"/>
    <col min="6669" max="6669" width="2.5" style="45" customWidth="1"/>
    <col min="6670" max="6670" width="23.33203125" style="45" customWidth="1"/>
    <col min="6671" max="6671" width="13.83203125" style="45" customWidth="1"/>
    <col min="6672" max="6672" width="19" style="45" customWidth="1"/>
    <col min="6673" max="6674" width="10.33203125" style="45" customWidth="1"/>
    <col min="6675" max="6675" width="5.83203125" style="45" customWidth="1"/>
    <col min="6676" max="6676" width="24.5" style="45" customWidth="1"/>
    <col min="6677" max="6677" width="6.33203125" style="45" customWidth="1"/>
    <col min="6678" max="6678" width="2.6640625" style="45" customWidth="1"/>
    <col min="6679" max="6679" width="16.5" style="45" customWidth="1"/>
    <col min="6680" max="6680" width="2.1640625" style="45" customWidth="1"/>
    <col min="6681" max="6681" width="12" style="45" customWidth="1"/>
    <col min="6682" max="6682" width="8.1640625" style="45" customWidth="1"/>
    <col min="6683" max="6683" width="17" style="45" customWidth="1"/>
    <col min="6684" max="6684" width="2.33203125" style="45" customWidth="1"/>
    <col min="6685" max="6685" width="12" style="45" customWidth="1"/>
    <col min="6686" max="6686" width="8.5" style="45" customWidth="1"/>
    <col min="6687" max="6687" width="16.6640625" style="45" customWidth="1"/>
    <col min="6688" max="6688" width="2.6640625" style="45" customWidth="1"/>
    <col min="6689" max="6689" width="12" style="45" customWidth="1"/>
    <col min="6690" max="6690" width="8.83203125" style="45" customWidth="1"/>
    <col min="6691" max="6691" width="17.6640625" style="45" customWidth="1"/>
    <col min="6692" max="6692" width="2.1640625" style="45" customWidth="1"/>
    <col min="6693" max="6693" width="12" style="45" customWidth="1"/>
    <col min="6694" max="6694" width="3.1640625" style="45" customWidth="1"/>
    <col min="6695" max="6695" width="11.83203125" style="45" customWidth="1"/>
    <col min="6696" max="6696" width="4" style="45" customWidth="1"/>
    <col min="6697" max="6697" width="11.5" style="45" customWidth="1"/>
    <col min="6698" max="6698" width="2.5" style="45" customWidth="1"/>
    <col min="6699" max="6699" width="9.33203125" style="45"/>
    <col min="6700" max="6700" width="2" style="45" customWidth="1"/>
    <col min="6701" max="6701" width="2.6640625" style="45" customWidth="1"/>
    <col min="6702" max="6912" width="9.33203125" style="45"/>
    <col min="6913" max="6914" width="2.5" style="45" customWidth="1"/>
    <col min="6915" max="6915" width="2" style="45" customWidth="1"/>
    <col min="6916" max="6916" width="2.33203125" style="45" customWidth="1"/>
    <col min="6917" max="6917" width="18.6640625" style="45" customWidth="1"/>
    <col min="6918" max="6918" width="19" style="45" customWidth="1"/>
    <col min="6919" max="6919" width="19.33203125" style="45" customWidth="1"/>
    <col min="6920" max="6920" width="19.83203125" style="45" customWidth="1"/>
    <col min="6921" max="6921" width="19.1640625" style="45" customWidth="1"/>
    <col min="6922" max="6922" width="21.5" style="45" customWidth="1"/>
    <col min="6923" max="6923" width="2.1640625" style="45" customWidth="1"/>
    <col min="6924" max="6924" width="10.33203125" style="45" customWidth="1"/>
    <col min="6925" max="6925" width="2.5" style="45" customWidth="1"/>
    <col min="6926" max="6926" width="23.33203125" style="45" customWidth="1"/>
    <col min="6927" max="6927" width="13.83203125" style="45" customWidth="1"/>
    <col min="6928" max="6928" width="19" style="45" customWidth="1"/>
    <col min="6929" max="6930" width="10.33203125" style="45" customWidth="1"/>
    <col min="6931" max="6931" width="5.83203125" style="45" customWidth="1"/>
    <col min="6932" max="6932" width="24.5" style="45" customWidth="1"/>
    <col min="6933" max="6933" width="6.33203125" style="45" customWidth="1"/>
    <col min="6934" max="6934" width="2.6640625" style="45" customWidth="1"/>
    <col min="6935" max="6935" width="16.5" style="45" customWidth="1"/>
    <col min="6936" max="6936" width="2.1640625" style="45" customWidth="1"/>
    <col min="6937" max="6937" width="12" style="45" customWidth="1"/>
    <col min="6938" max="6938" width="8.1640625" style="45" customWidth="1"/>
    <col min="6939" max="6939" width="17" style="45" customWidth="1"/>
    <col min="6940" max="6940" width="2.33203125" style="45" customWidth="1"/>
    <col min="6941" max="6941" width="12" style="45" customWidth="1"/>
    <col min="6942" max="6942" width="8.5" style="45" customWidth="1"/>
    <col min="6943" max="6943" width="16.6640625" style="45" customWidth="1"/>
    <col min="6944" max="6944" width="2.6640625" style="45" customWidth="1"/>
    <col min="6945" max="6945" width="12" style="45" customWidth="1"/>
    <col min="6946" max="6946" width="8.83203125" style="45" customWidth="1"/>
    <col min="6947" max="6947" width="17.6640625" style="45" customWidth="1"/>
    <col min="6948" max="6948" width="2.1640625" style="45" customWidth="1"/>
    <col min="6949" max="6949" width="12" style="45" customWidth="1"/>
    <col min="6950" max="6950" width="3.1640625" style="45" customWidth="1"/>
    <col min="6951" max="6951" width="11.83203125" style="45" customWidth="1"/>
    <col min="6952" max="6952" width="4" style="45" customWidth="1"/>
    <col min="6953" max="6953" width="11.5" style="45" customWidth="1"/>
    <col min="6954" max="6954" width="2.5" style="45" customWidth="1"/>
    <col min="6955" max="6955" width="9.33203125" style="45"/>
    <col min="6956" max="6956" width="2" style="45" customWidth="1"/>
    <col min="6957" max="6957" width="2.6640625" style="45" customWidth="1"/>
    <col min="6958" max="7168" width="9.33203125" style="45"/>
    <col min="7169" max="7170" width="2.5" style="45" customWidth="1"/>
    <col min="7171" max="7171" width="2" style="45" customWidth="1"/>
    <col min="7172" max="7172" width="2.33203125" style="45" customWidth="1"/>
    <col min="7173" max="7173" width="18.6640625" style="45" customWidth="1"/>
    <col min="7174" max="7174" width="19" style="45" customWidth="1"/>
    <col min="7175" max="7175" width="19.33203125" style="45" customWidth="1"/>
    <col min="7176" max="7176" width="19.83203125" style="45" customWidth="1"/>
    <col min="7177" max="7177" width="19.1640625" style="45" customWidth="1"/>
    <col min="7178" max="7178" width="21.5" style="45" customWidth="1"/>
    <col min="7179" max="7179" width="2.1640625" style="45" customWidth="1"/>
    <col min="7180" max="7180" width="10.33203125" style="45" customWidth="1"/>
    <col min="7181" max="7181" width="2.5" style="45" customWidth="1"/>
    <col min="7182" max="7182" width="23.33203125" style="45" customWidth="1"/>
    <col min="7183" max="7183" width="13.83203125" style="45" customWidth="1"/>
    <col min="7184" max="7184" width="19" style="45" customWidth="1"/>
    <col min="7185" max="7186" width="10.33203125" style="45" customWidth="1"/>
    <col min="7187" max="7187" width="5.83203125" style="45" customWidth="1"/>
    <col min="7188" max="7188" width="24.5" style="45" customWidth="1"/>
    <col min="7189" max="7189" width="6.33203125" style="45" customWidth="1"/>
    <col min="7190" max="7190" width="2.6640625" style="45" customWidth="1"/>
    <col min="7191" max="7191" width="16.5" style="45" customWidth="1"/>
    <col min="7192" max="7192" width="2.1640625" style="45" customWidth="1"/>
    <col min="7193" max="7193" width="12" style="45" customWidth="1"/>
    <col min="7194" max="7194" width="8.1640625" style="45" customWidth="1"/>
    <col min="7195" max="7195" width="17" style="45" customWidth="1"/>
    <col min="7196" max="7196" width="2.33203125" style="45" customWidth="1"/>
    <col min="7197" max="7197" width="12" style="45" customWidth="1"/>
    <col min="7198" max="7198" width="8.5" style="45" customWidth="1"/>
    <col min="7199" max="7199" width="16.6640625" style="45" customWidth="1"/>
    <col min="7200" max="7200" width="2.6640625" style="45" customWidth="1"/>
    <col min="7201" max="7201" width="12" style="45" customWidth="1"/>
    <col min="7202" max="7202" width="8.83203125" style="45" customWidth="1"/>
    <col min="7203" max="7203" width="17.6640625" style="45" customWidth="1"/>
    <col min="7204" max="7204" width="2.1640625" style="45" customWidth="1"/>
    <col min="7205" max="7205" width="12" style="45" customWidth="1"/>
    <col min="7206" max="7206" width="3.1640625" style="45" customWidth="1"/>
    <col min="7207" max="7207" width="11.83203125" style="45" customWidth="1"/>
    <col min="7208" max="7208" width="4" style="45" customWidth="1"/>
    <col min="7209" max="7209" width="11.5" style="45" customWidth="1"/>
    <col min="7210" max="7210" width="2.5" style="45" customWidth="1"/>
    <col min="7211" max="7211" width="9.33203125" style="45"/>
    <col min="7212" max="7212" width="2" style="45" customWidth="1"/>
    <col min="7213" max="7213" width="2.6640625" style="45" customWidth="1"/>
    <col min="7214" max="7424" width="9.33203125" style="45"/>
    <col min="7425" max="7426" width="2.5" style="45" customWidth="1"/>
    <col min="7427" max="7427" width="2" style="45" customWidth="1"/>
    <col min="7428" max="7428" width="2.33203125" style="45" customWidth="1"/>
    <col min="7429" max="7429" width="18.6640625" style="45" customWidth="1"/>
    <col min="7430" max="7430" width="19" style="45" customWidth="1"/>
    <col min="7431" max="7431" width="19.33203125" style="45" customWidth="1"/>
    <col min="7432" max="7432" width="19.83203125" style="45" customWidth="1"/>
    <col min="7433" max="7433" width="19.1640625" style="45" customWidth="1"/>
    <col min="7434" max="7434" width="21.5" style="45" customWidth="1"/>
    <col min="7435" max="7435" width="2.1640625" style="45" customWidth="1"/>
    <col min="7436" max="7436" width="10.33203125" style="45" customWidth="1"/>
    <col min="7437" max="7437" width="2.5" style="45" customWidth="1"/>
    <col min="7438" max="7438" width="23.33203125" style="45" customWidth="1"/>
    <col min="7439" max="7439" width="13.83203125" style="45" customWidth="1"/>
    <col min="7440" max="7440" width="19" style="45" customWidth="1"/>
    <col min="7441" max="7442" width="10.33203125" style="45" customWidth="1"/>
    <col min="7443" max="7443" width="5.83203125" style="45" customWidth="1"/>
    <col min="7444" max="7444" width="24.5" style="45" customWidth="1"/>
    <col min="7445" max="7445" width="6.33203125" style="45" customWidth="1"/>
    <col min="7446" max="7446" width="2.6640625" style="45" customWidth="1"/>
    <col min="7447" max="7447" width="16.5" style="45" customWidth="1"/>
    <col min="7448" max="7448" width="2.1640625" style="45" customWidth="1"/>
    <col min="7449" max="7449" width="12" style="45" customWidth="1"/>
    <col min="7450" max="7450" width="8.1640625" style="45" customWidth="1"/>
    <col min="7451" max="7451" width="17" style="45" customWidth="1"/>
    <col min="7452" max="7452" width="2.33203125" style="45" customWidth="1"/>
    <col min="7453" max="7453" width="12" style="45" customWidth="1"/>
    <col min="7454" max="7454" width="8.5" style="45" customWidth="1"/>
    <col min="7455" max="7455" width="16.6640625" style="45" customWidth="1"/>
    <col min="7456" max="7456" width="2.6640625" style="45" customWidth="1"/>
    <col min="7457" max="7457" width="12" style="45" customWidth="1"/>
    <col min="7458" max="7458" width="8.83203125" style="45" customWidth="1"/>
    <col min="7459" max="7459" width="17.6640625" style="45" customWidth="1"/>
    <col min="7460" max="7460" width="2.1640625" style="45" customWidth="1"/>
    <col min="7461" max="7461" width="12" style="45" customWidth="1"/>
    <col min="7462" max="7462" width="3.1640625" style="45" customWidth="1"/>
    <col min="7463" max="7463" width="11.83203125" style="45" customWidth="1"/>
    <col min="7464" max="7464" width="4" style="45" customWidth="1"/>
    <col min="7465" max="7465" width="11.5" style="45" customWidth="1"/>
    <col min="7466" max="7466" width="2.5" style="45" customWidth="1"/>
    <col min="7467" max="7467" width="9.33203125" style="45"/>
    <col min="7468" max="7468" width="2" style="45" customWidth="1"/>
    <col min="7469" max="7469" width="2.6640625" style="45" customWidth="1"/>
    <col min="7470" max="7680" width="9.33203125" style="45"/>
    <col min="7681" max="7682" width="2.5" style="45" customWidth="1"/>
    <col min="7683" max="7683" width="2" style="45" customWidth="1"/>
    <col min="7684" max="7684" width="2.33203125" style="45" customWidth="1"/>
    <col min="7685" max="7685" width="18.6640625" style="45" customWidth="1"/>
    <col min="7686" max="7686" width="19" style="45" customWidth="1"/>
    <col min="7687" max="7687" width="19.33203125" style="45" customWidth="1"/>
    <col min="7688" max="7688" width="19.83203125" style="45" customWidth="1"/>
    <col min="7689" max="7689" width="19.1640625" style="45" customWidth="1"/>
    <col min="7690" max="7690" width="21.5" style="45" customWidth="1"/>
    <col min="7691" max="7691" width="2.1640625" style="45" customWidth="1"/>
    <col min="7692" max="7692" width="10.33203125" style="45" customWidth="1"/>
    <col min="7693" max="7693" width="2.5" style="45" customWidth="1"/>
    <col min="7694" max="7694" width="23.33203125" style="45" customWidth="1"/>
    <col min="7695" max="7695" width="13.83203125" style="45" customWidth="1"/>
    <col min="7696" max="7696" width="19" style="45" customWidth="1"/>
    <col min="7697" max="7698" width="10.33203125" style="45" customWidth="1"/>
    <col min="7699" max="7699" width="5.83203125" style="45" customWidth="1"/>
    <col min="7700" max="7700" width="24.5" style="45" customWidth="1"/>
    <col min="7701" max="7701" width="6.33203125" style="45" customWidth="1"/>
    <col min="7702" max="7702" width="2.6640625" style="45" customWidth="1"/>
    <col min="7703" max="7703" width="16.5" style="45" customWidth="1"/>
    <col min="7704" max="7704" width="2.1640625" style="45" customWidth="1"/>
    <col min="7705" max="7705" width="12" style="45" customWidth="1"/>
    <col min="7706" max="7706" width="8.1640625" style="45" customWidth="1"/>
    <col min="7707" max="7707" width="17" style="45" customWidth="1"/>
    <col min="7708" max="7708" width="2.33203125" style="45" customWidth="1"/>
    <col min="7709" max="7709" width="12" style="45" customWidth="1"/>
    <col min="7710" max="7710" width="8.5" style="45" customWidth="1"/>
    <col min="7711" max="7711" width="16.6640625" style="45" customWidth="1"/>
    <col min="7712" max="7712" width="2.6640625" style="45" customWidth="1"/>
    <col min="7713" max="7713" width="12" style="45" customWidth="1"/>
    <col min="7714" max="7714" width="8.83203125" style="45" customWidth="1"/>
    <col min="7715" max="7715" width="17.6640625" style="45" customWidth="1"/>
    <col min="7716" max="7716" width="2.1640625" style="45" customWidth="1"/>
    <col min="7717" max="7717" width="12" style="45" customWidth="1"/>
    <col min="7718" max="7718" width="3.1640625" style="45" customWidth="1"/>
    <col min="7719" max="7719" width="11.83203125" style="45" customWidth="1"/>
    <col min="7720" max="7720" width="4" style="45" customWidth="1"/>
    <col min="7721" max="7721" width="11.5" style="45" customWidth="1"/>
    <col min="7722" max="7722" width="2.5" style="45" customWidth="1"/>
    <col min="7723" max="7723" width="9.33203125" style="45"/>
    <col min="7724" max="7724" width="2" style="45" customWidth="1"/>
    <col min="7725" max="7725" width="2.6640625" style="45" customWidth="1"/>
    <col min="7726" max="7936" width="9.33203125" style="45"/>
    <col min="7937" max="7938" width="2.5" style="45" customWidth="1"/>
    <col min="7939" max="7939" width="2" style="45" customWidth="1"/>
    <col min="7940" max="7940" width="2.33203125" style="45" customWidth="1"/>
    <col min="7941" max="7941" width="18.6640625" style="45" customWidth="1"/>
    <col min="7942" max="7942" width="19" style="45" customWidth="1"/>
    <col min="7943" max="7943" width="19.33203125" style="45" customWidth="1"/>
    <col min="7944" max="7944" width="19.83203125" style="45" customWidth="1"/>
    <col min="7945" max="7945" width="19.1640625" style="45" customWidth="1"/>
    <col min="7946" max="7946" width="21.5" style="45" customWidth="1"/>
    <col min="7947" max="7947" width="2.1640625" style="45" customWidth="1"/>
    <col min="7948" max="7948" width="10.33203125" style="45" customWidth="1"/>
    <col min="7949" max="7949" width="2.5" style="45" customWidth="1"/>
    <col min="7950" max="7950" width="23.33203125" style="45" customWidth="1"/>
    <col min="7951" max="7951" width="13.83203125" style="45" customWidth="1"/>
    <col min="7952" max="7952" width="19" style="45" customWidth="1"/>
    <col min="7953" max="7954" width="10.33203125" style="45" customWidth="1"/>
    <col min="7955" max="7955" width="5.83203125" style="45" customWidth="1"/>
    <col min="7956" max="7956" width="24.5" style="45" customWidth="1"/>
    <col min="7957" max="7957" width="6.33203125" style="45" customWidth="1"/>
    <col min="7958" max="7958" width="2.6640625" style="45" customWidth="1"/>
    <col min="7959" max="7959" width="16.5" style="45" customWidth="1"/>
    <col min="7960" max="7960" width="2.1640625" style="45" customWidth="1"/>
    <col min="7961" max="7961" width="12" style="45" customWidth="1"/>
    <col min="7962" max="7962" width="8.1640625" style="45" customWidth="1"/>
    <col min="7963" max="7963" width="17" style="45" customWidth="1"/>
    <col min="7964" max="7964" width="2.33203125" style="45" customWidth="1"/>
    <col min="7965" max="7965" width="12" style="45" customWidth="1"/>
    <col min="7966" max="7966" width="8.5" style="45" customWidth="1"/>
    <col min="7967" max="7967" width="16.6640625" style="45" customWidth="1"/>
    <col min="7968" max="7968" width="2.6640625" style="45" customWidth="1"/>
    <col min="7969" max="7969" width="12" style="45" customWidth="1"/>
    <col min="7970" max="7970" width="8.83203125" style="45" customWidth="1"/>
    <col min="7971" max="7971" width="17.6640625" style="45" customWidth="1"/>
    <col min="7972" max="7972" width="2.1640625" style="45" customWidth="1"/>
    <col min="7973" max="7973" width="12" style="45" customWidth="1"/>
    <col min="7974" max="7974" width="3.1640625" style="45" customWidth="1"/>
    <col min="7975" max="7975" width="11.83203125" style="45" customWidth="1"/>
    <col min="7976" max="7976" width="4" style="45" customWidth="1"/>
    <col min="7977" max="7977" width="11.5" style="45" customWidth="1"/>
    <col min="7978" max="7978" width="2.5" style="45" customWidth="1"/>
    <col min="7979" max="7979" width="9.33203125" style="45"/>
    <col min="7980" max="7980" width="2" style="45" customWidth="1"/>
    <col min="7981" max="7981" width="2.6640625" style="45" customWidth="1"/>
    <col min="7982" max="8192" width="9.33203125" style="45"/>
    <col min="8193" max="8194" width="2.5" style="45" customWidth="1"/>
    <col min="8195" max="8195" width="2" style="45" customWidth="1"/>
    <col min="8196" max="8196" width="2.33203125" style="45" customWidth="1"/>
    <col min="8197" max="8197" width="18.6640625" style="45" customWidth="1"/>
    <col min="8198" max="8198" width="19" style="45" customWidth="1"/>
    <col min="8199" max="8199" width="19.33203125" style="45" customWidth="1"/>
    <col min="8200" max="8200" width="19.83203125" style="45" customWidth="1"/>
    <col min="8201" max="8201" width="19.1640625" style="45" customWidth="1"/>
    <col min="8202" max="8202" width="21.5" style="45" customWidth="1"/>
    <col min="8203" max="8203" width="2.1640625" style="45" customWidth="1"/>
    <col min="8204" max="8204" width="10.33203125" style="45" customWidth="1"/>
    <col min="8205" max="8205" width="2.5" style="45" customWidth="1"/>
    <col min="8206" max="8206" width="23.33203125" style="45" customWidth="1"/>
    <col min="8207" max="8207" width="13.83203125" style="45" customWidth="1"/>
    <col min="8208" max="8208" width="19" style="45" customWidth="1"/>
    <col min="8209" max="8210" width="10.33203125" style="45" customWidth="1"/>
    <col min="8211" max="8211" width="5.83203125" style="45" customWidth="1"/>
    <col min="8212" max="8212" width="24.5" style="45" customWidth="1"/>
    <col min="8213" max="8213" width="6.33203125" style="45" customWidth="1"/>
    <col min="8214" max="8214" width="2.6640625" style="45" customWidth="1"/>
    <col min="8215" max="8215" width="16.5" style="45" customWidth="1"/>
    <col min="8216" max="8216" width="2.1640625" style="45" customWidth="1"/>
    <col min="8217" max="8217" width="12" style="45" customWidth="1"/>
    <col min="8218" max="8218" width="8.1640625" style="45" customWidth="1"/>
    <col min="8219" max="8219" width="17" style="45" customWidth="1"/>
    <col min="8220" max="8220" width="2.33203125" style="45" customWidth="1"/>
    <col min="8221" max="8221" width="12" style="45" customWidth="1"/>
    <col min="8222" max="8222" width="8.5" style="45" customWidth="1"/>
    <col min="8223" max="8223" width="16.6640625" style="45" customWidth="1"/>
    <col min="8224" max="8224" width="2.6640625" style="45" customWidth="1"/>
    <col min="8225" max="8225" width="12" style="45" customWidth="1"/>
    <col min="8226" max="8226" width="8.83203125" style="45" customWidth="1"/>
    <col min="8227" max="8227" width="17.6640625" style="45" customWidth="1"/>
    <col min="8228" max="8228" width="2.1640625" style="45" customWidth="1"/>
    <col min="8229" max="8229" width="12" style="45" customWidth="1"/>
    <col min="8230" max="8230" width="3.1640625" style="45" customWidth="1"/>
    <col min="8231" max="8231" width="11.83203125" style="45" customWidth="1"/>
    <col min="8232" max="8232" width="4" style="45" customWidth="1"/>
    <col min="8233" max="8233" width="11.5" style="45" customWidth="1"/>
    <col min="8234" max="8234" width="2.5" style="45" customWidth="1"/>
    <col min="8235" max="8235" width="9.33203125" style="45"/>
    <col min="8236" max="8236" width="2" style="45" customWidth="1"/>
    <col min="8237" max="8237" width="2.6640625" style="45" customWidth="1"/>
    <col min="8238" max="8448" width="9.33203125" style="45"/>
    <col min="8449" max="8450" width="2.5" style="45" customWidth="1"/>
    <col min="8451" max="8451" width="2" style="45" customWidth="1"/>
    <col min="8452" max="8452" width="2.33203125" style="45" customWidth="1"/>
    <col min="8453" max="8453" width="18.6640625" style="45" customWidth="1"/>
    <col min="8454" max="8454" width="19" style="45" customWidth="1"/>
    <col min="8455" max="8455" width="19.33203125" style="45" customWidth="1"/>
    <col min="8456" max="8456" width="19.83203125" style="45" customWidth="1"/>
    <col min="8457" max="8457" width="19.1640625" style="45" customWidth="1"/>
    <col min="8458" max="8458" width="21.5" style="45" customWidth="1"/>
    <col min="8459" max="8459" width="2.1640625" style="45" customWidth="1"/>
    <col min="8460" max="8460" width="10.33203125" style="45" customWidth="1"/>
    <col min="8461" max="8461" width="2.5" style="45" customWidth="1"/>
    <col min="8462" max="8462" width="23.33203125" style="45" customWidth="1"/>
    <col min="8463" max="8463" width="13.83203125" style="45" customWidth="1"/>
    <col min="8464" max="8464" width="19" style="45" customWidth="1"/>
    <col min="8465" max="8466" width="10.33203125" style="45" customWidth="1"/>
    <col min="8467" max="8467" width="5.83203125" style="45" customWidth="1"/>
    <col min="8468" max="8468" width="24.5" style="45" customWidth="1"/>
    <col min="8469" max="8469" width="6.33203125" style="45" customWidth="1"/>
    <col min="8470" max="8470" width="2.6640625" style="45" customWidth="1"/>
    <col min="8471" max="8471" width="16.5" style="45" customWidth="1"/>
    <col min="8472" max="8472" width="2.1640625" style="45" customWidth="1"/>
    <col min="8473" max="8473" width="12" style="45" customWidth="1"/>
    <col min="8474" max="8474" width="8.1640625" style="45" customWidth="1"/>
    <col min="8475" max="8475" width="17" style="45" customWidth="1"/>
    <col min="8476" max="8476" width="2.33203125" style="45" customWidth="1"/>
    <col min="8477" max="8477" width="12" style="45" customWidth="1"/>
    <col min="8478" max="8478" width="8.5" style="45" customWidth="1"/>
    <col min="8479" max="8479" width="16.6640625" style="45" customWidth="1"/>
    <col min="8480" max="8480" width="2.6640625" style="45" customWidth="1"/>
    <col min="8481" max="8481" width="12" style="45" customWidth="1"/>
    <col min="8482" max="8482" width="8.83203125" style="45" customWidth="1"/>
    <col min="8483" max="8483" width="17.6640625" style="45" customWidth="1"/>
    <col min="8484" max="8484" width="2.1640625" style="45" customWidth="1"/>
    <col min="8485" max="8485" width="12" style="45" customWidth="1"/>
    <col min="8486" max="8486" width="3.1640625" style="45" customWidth="1"/>
    <col min="8487" max="8487" width="11.83203125" style="45" customWidth="1"/>
    <col min="8488" max="8488" width="4" style="45" customWidth="1"/>
    <col min="8489" max="8489" width="11.5" style="45" customWidth="1"/>
    <col min="8490" max="8490" width="2.5" style="45" customWidth="1"/>
    <col min="8491" max="8491" width="9.33203125" style="45"/>
    <col min="8492" max="8492" width="2" style="45" customWidth="1"/>
    <col min="8493" max="8493" width="2.6640625" style="45" customWidth="1"/>
    <col min="8494" max="8704" width="9.33203125" style="45"/>
    <col min="8705" max="8706" width="2.5" style="45" customWidth="1"/>
    <col min="8707" max="8707" width="2" style="45" customWidth="1"/>
    <col min="8708" max="8708" width="2.33203125" style="45" customWidth="1"/>
    <col min="8709" max="8709" width="18.6640625" style="45" customWidth="1"/>
    <col min="8710" max="8710" width="19" style="45" customWidth="1"/>
    <col min="8711" max="8711" width="19.33203125" style="45" customWidth="1"/>
    <col min="8712" max="8712" width="19.83203125" style="45" customWidth="1"/>
    <col min="8713" max="8713" width="19.1640625" style="45" customWidth="1"/>
    <col min="8714" max="8714" width="21.5" style="45" customWidth="1"/>
    <col min="8715" max="8715" width="2.1640625" style="45" customWidth="1"/>
    <col min="8716" max="8716" width="10.33203125" style="45" customWidth="1"/>
    <col min="8717" max="8717" width="2.5" style="45" customWidth="1"/>
    <col min="8718" max="8718" width="23.33203125" style="45" customWidth="1"/>
    <col min="8719" max="8719" width="13.83203125" style="45" customWidth="1"/>
    <col min="8720" max="8720" width="19" style="45" customWidth="1"/>
    <col min="8721" max="8722" width="10.33203125" style="45" customWidth="1"/>
    <col min="8723" max="8723" width="5.83203125" style="45" customWidth="1"/>
    <col min="8724" max="8724" width="24.5" style="45" customWidth="1"/>
    <col min="8725" max="8725" width="6.33203125" style="45" customWidth="1"/>
    <col min="8726" max="8726" width="2.6640625" style="45" customWidth="1"/>
    <col min="8727" max="8727" width="16.5" style="45" customWidth="1"/>
    <col min="8728" max="8728" width="2.1640625" style="45" customWidth="1"/>
    <col min="8729" max="8729" width="12" style="45" customWidth="1"/>
    <col min="8730" max="8730" width="8.1640625" style="45" customWidth="1"/>
    <col min="8731" max="8731" width="17" style="45" customWidth="1"/>
    <col min="8732" max="8732" width="2.33203125" style="45" customWidth="1"/>
    <col min="8733" max="8733" width="12" style="45" customWidth="1"/>
    <col min="8734" max="8734" width="8.5" style="45" customWidth="1"/>
    <col min="8735" max="8735" width="16.6640625" style="45" customWidth="1"/>
    <col min="8736" max="8736" width="2.6640625" style="45" customWidth="1"/>
    <col min="8737" max="8737" width="12" style="45" customWidth="1"/>
    <col min="8738" max="8738" width="8.83203125" style="45" customWidth="1"/>
    <col min="8739" max="8739" width="17.6640625" style="45" customWidth="1"/>
    <col min="8740" max="8740" width="2.1640625" style="45" customWidth="1"/>
    <col min="8741" max="8741" width="12" style="45" customWidth="1"/>
    <col min="8742" max="8742" width="3.1640625" style="45" customWidth="1"/>
    <col min="8743" max="8743" width="11.83203125" style="45" customWidth="1"/>
    <col min="8744" max="8744" width="4" style="45" customWidth="1"/>
    <col min="8745" max="8745" width="11.5" style="45" customWidth="1"/>
    <col min="8746" max="8746" width="2.5" style="45" customWidth="1"/>
    <col min="8747" max="8747" width="9.33203125" style="45"/>
    <col min="8748" max="8748" width="2" style="45" customWidth="1"/>
    <col min="8749" max="8749" width="2.6640625" style="45" customWidth="1"/>
    <col min="8750" max="8960" width="9.33203125" style="45"/>
    <col min="8961" max="8962" width="2.5" style="45" customWidth="1"/>
    <col min="8963" max="8963" width="2" style="45" customWidth="1"/>
    <col min="8964" max="8964" width="2.33203125" style="45" customWidth="1"/>
    <col min="8965" max="8965" width="18.6640625" style="45" customWidth="1"/>
    <col min="8966" max="8966" width="19" style="45" customWidth="1"/>
    <col min="8967" max="8967" width="19.33203125" style="45" customWidth="1"/>
    <col min="8968" max="8968" width="19.83203125" style="45" customWidth="1"/>
    <col min="8969" max="8969" width="19.1640625" style="45" customWidth="1"/>
    <col min="8970" max="8970" width="21.5" style="45" customWidth="1"/>
    <col min="8971" max="8971" width="2.1640625" style="45" customWidth="1"/>
    <col min="8972" max="8972" width="10.33203125" style="45" customWidth="1"/>
    <col min="8973" max="8973" width="2.5" style="45" customWidth="1"/>
    <col min="8974" max="8974" width="23.33203125" style="45" customWidth="1"/>
    <col min="8975" max="8975" width="13.83203125" style="45" customWidth="1"/>
    <col min="8976" max="8976" width="19" style="45" customWidth="1"/>
    <col min="8977" max="8978" width="10.33203125" style="45" customWidth="1"/>
    <col min="8979" max="8979" width="5.83203125" style="45" customWidth="1"/>
    <col min="8980" max="8980" width="24.5" style="45" customWidth="1"/>
    <col min="8981" max="8981" width="6.33203125" style="45" customWidth="1"/>
    <col min="8982" max="8982" width="2.6640625" style="45" customWidth="1"/>
    <col min="8983" max="8983" width="16.5" style="45" customWidth="1"/>
    <col min="8984" max="8984" width="2.1640625" style="45" customWidth="1"/>
    <col min="8985" max="8985" width="12" style="45" customWidth="1"/>
    <col min="8986" max="8986" width="8.1640625" style="45" customWidth="1"/>
    <col min="8987" max="8987" width="17" style="45" customWidth="1"/>
    <col min="8988" max="8988" width="2.33203125" style="45" customWidth="1"/>
    <col min="8989" max="8989" width="12" style="45" customWidth="1"/>
    <col min="8990" max="8990" width="8.5" style="45" customWidth="1"/>
    <col min="8991" max="8991" width="16.6640625" style="45" customWidth="1"/>
    <col min="8992" max="8992" width="2.6640625" style="45" customWidth="1"/>
    <col min="8993" max="8993" width="12" style="45" customWidth="1"/>
    <col min="8994" max="8994" width="8.83203125" style="45" customWidth="1"/>
    <col min="8995" max="8995" width="17.6640625" style="45" customWidth="1"/>
    <col min="8996" max="8996" width="2.1640625" style="45" customWidth="1"/>
    <col min="8997" max="8997" width="12" style="45" customWidth="1"/>
    <col min="8998" max="8998" width="3.1640625" style="45" customWidth="1"/>
    <col min="8999" max="8999" width="11.83203125" style="45" customWidth="1"/>
    <col min="9000" max="9000" width="4" style="45" customWidth="1"/>
    <col min="9001" max="9001" width="11.5" style="45" customWidth="1"/>
    <col min="9002" max="9002" width="2.5" style="45" customWidth="1"/>
    <col min="9003" max="9003" width="9.33203125" style="45"/>
    <col min="9004" max="9004" width="2" style="45" customWidth="1"/>
    <col min="9005" max="9005" width="2.6640625" style="45" customWidth="1"/>
    <col min="9006" max="9216" width="9.33203125" style="45"/>
    <col min="9217" max="9218" width="2.5" style="45" customWidth="1"/>
    <col min="9219" max="9219" width="2" style="45" customWidth="1"/>
    <col min="9220" max="9220" width="2.33203125" style="45" customWidth="1"/>
    <col min="9221" max="9221" width="18.6640625" style="45" customWidth="1"/>
    <col min="9222" max="9222" width="19" style="45" customWidth="1"/>
    <col min="9223" max="9223" width="19.33203125" style="45" customWidth="1"/>
    <col min="9224" max="9224" width="19.83203125" style="45" customWidth="1"/>
    <col min="9225" max="9225" width="19.1640625" style="45" customWidth="1"/>
    <col min="9226" max="9226" width="21.5" style="45" customWidth="1"/>
    <col min="9227" max="9227" width="2.1640625" style="45" customWidth="1"/>
    <col min="9228" max="9228" width="10.33203125" style="45" customWidth="1"/>
    <col min="9229" max="9229" width="2.5" style="45" customWidth="1"/>
    <col min="9230" max="9230" width="23.33203125" style="45" customWidth="1"/>
    <col min="9231" max="9231" width="13.83203125" style="45" customWidth="1"/>
    <col min="9232" max="9232" width="19" style="45" customWidth="1"/>
    <col min="9233" max="9234" width="10.33203125" style="45" customWidth="1"/>
    <col min="9235" max="9235" width="5.83203125" style="45" customWidth="1"/>
    <col min="9236" max="9236" width="24.5" style="45" customWidth="1"/>
    <col min="9237" max="9237" width="6.33203125" style="45" customWidth="1"/>
    <col min="9238" max="9238" width="2.6640625" style="45" customWidth="1"/>
    <col min="9239" max="9239" width="16.5" style="45" customWidth="1"/>
    <col min="9240" max="9240" width="2.1640625" style="45" customWidth="1"/>
    <col min="9241" max="9241" width="12" style="45" customWidth="1"/>
    <col min="9242" max="9242" width="8.1640625" style="45" customWidth="1"/>
    <col min="9243" max="9243" width="17" style="45" customWidth="1"/>
    <col min="9244" max="9244" width="2.33203125" style="45" customWidth="1"/>
    <col min="9245" max="9245" width="12" style="45" customWidth="1"/>
    <col min="9246" max="9246" width="8.5" style="45" customWidth="1"/>
    <col min="9247" max="9247" width="16.6640625" style="45" customWidth="1"/>
    <col min="9248" max="9248" width="2.6640625" style="45" customWidth="1"/>
    <col min="9249" max="9249" width="12" style="45" customWidth="1"/>
    <col min="9250" max="9250" width="8.83203125" style="45" customWidth="1"/>
    <col min="9251" max="9251" width="17.6640625" style="45" customWidth="1"/>
    <col min="9252" max="9252" width="2.1640625" style="45" customWidth="1"/>
    <col min="9253" max="9253" width="12" style="45" customWidth="1"/>
    <col min="9254" max="9254" width="3.1640625" style="45" customWidth="1"/>
    <col min="9255" max="9255" width="11.83203125" style="45" customWidth="1"/>
    <col min="9256" max="9256" width="4" style="45" customWidth="1"/>
    <col min="9257" max="9257" width="11.5" style="45" customWidth="1"/>
    <col min="9258" max="9258" width="2.5" style="45" customWidth="1"/>
    <col min="9259" max="9259" width="9.33203125" style="45"/>
    <col min="9260" max="9260" width="2" style="45" customWidth="1"/>
    <col min="9261" max="9261" width="2.6640625" style="45" customWidth="1"/>
    <col min="9262" max="9472" width="9.33203125" style="45"/>
    <col min="9473" max="9474" width="2.5" style="45" customWidth="1"/>
    <col min="9475" max="9475" width="2" style="45" customWidth="1"/>
    <col min="9476" max="9476" width="2.33203125" style="45" customWidth="1"/>
    <col min="9477" max="9477" width="18.6640625" style="45" customWidth="1"/>
    <col min="9478" max="9478" width="19" style="45" customWidth="1"/>
    <col min="9479" max="9479" width="19.33203125" style="45" customWidth="1"/>
    <col min="9480" max="9480" width="19.83203125" style="45" customWidth="1"/>
    <col min="9481" max="9481" width="19.1640625" style="45" customWidth="1"/>
    <col min="9482" max="9482" width="21.5" style="45" customWidth="1"/>
    <col min="9483" max="9483" width="2.1640625" style="45" customWidth="1"/>
    <col min="9484" max="9484" width="10.33203125" style="45" customWidth="1"/>
    <col min="9485" max="9485" width="2.5" style="45" customWidth="1"/>
    <col min="9486" max="9486" width="23.33203125" style="45" customWidth="1"/>
    <col min="9487" max="9487" width="13.83203125" style="45" customWidth="1"/>
    <col min="9488" max="9488" width="19" style="45" customWidth="1"/>
    <col min="9489" max="9490" width="10.33203125" style="45" customWidth="1"/>
    <col min="9491" max="9491" width="5.83203125" style="45" customWidth="1"/>
    <col min="9492" max="9492" width="24.5" style="45" customWidth="1"/>
    <col min="9493" max="9493" width="6.33203125" style="45" customWidth="1"/>
    <col min="9494" max="9494" width="2.6640625" style="45" customWidth="1"/>
    <col min="9495" max="9495" width="16.5" style="45" customWidth="1"/>
    <col min="9496" max="9496" width="2.1640625" style="45" customWidth="1"/>
    <col min="9497" max="9497" width="12" style="45" customWidth="1"/>
    <col min="9498" max="9498" width="8.1640625" style="45" customWidth="1"/>
    <col min="9499" max="9499" width="17" style="45" customWidth="1"/>
    <col min="9500" max="9500" width="2.33203125" style="45" customWidth="1"/>
    <col min="9501" max="9501" width="12" style="45" customWidth="1"/>
    <col min="9502" max="9502" width="8.5" style="45" customWidth="1"/>
    <col min="9503" max="9503" width="16.6640625" style="45" customWidth="1"/>
    <col min="9504" max="9504" width="2.6640625" style="45" customWidth="1"/>
    <col min="9505" max="9505" width="12" style="45" customWidth="1"/>
    <col min="9506" max="9506" width="8.83203125" style="45" customWidth="1"/>
    <col min="9507" max="9507" width="17.6640625" style="45" customWidth="1"/>
    <col min="9508" max="9508" width="2.1640625" style="45" customWidth="1"/>
    <col min="9509" max="9509" width="12" style="45" customWidth="1"/>
    <col min="9510" max="9510" width="3.1640625" style="45" customWidth="1"/>
    <col min="9511" max="9511" width="11.83203125" style="45" customWidth="1"/>
    <col min="9512" max="9512" width="4" style="45" customWidth="1"/>
    <col min="9513" max="9513" width="11.5" style="45" customWidth="1"/>
    <col min="9514" max="9514" width="2.5" style="45" customWidth="1"/>
    <col min="9515" max="9515" width="9.33203125" style="45"/>
    <col min="9516" max="9516" width="2" style="45" customWidth="1"/>
    <col min="9517" max="9517" width="2.6640625" style="45" customWidth="1"/>
    <col min="9518" max="9728" width="9.33203125" style="45"/>
    <col min="9729" max="9730" width="2.5" style="45" customWidth="1"/>
    <col min="9731" max="9731" width="2" style="45" customWidth="1"/>
    <col min="9732" max="9732" width="2.33203125" style="45" customWidth="1"/>
    <col min="9733" max="9733" width="18.6640625" style="45" customWidth="1"/>
    <col min="9734" max="9734" width="19" style="45" customWidth="1"/>
    <col min="9735" max="9735" width="19.33203125" style="45" customWidth="1"/>
    <col min="9736" max="9736" width="19.83203125" style="45" customWidth="1"/>
    <col min="9737" max="9737" width="19.1640625" style="45" customWidth="1"/>
    <col min="9738" max="9738" width="21.5" style="45" customWidth="1"/>
    <col min="9739" max="9739" width="2.1640625" style="45" customWidth="1"/>
    <col min="9740" max="9740" width="10.33203125" style="45" customWidth="1"/>
    <col min="9741" max="9741" width="2.5" style="45" customWidth="1"/>
    <col min="9742" max="9742" width="23.33203125" style="45" customWidth="1"/>
    <col min="9743" max="9743" width="13.83203125" style="45" customWidth="1"/>
    <col min="9744" max="9744" width="19" style="45" customWidth="1"/>
    <col min="9745" max="9746" width="10.33203125" style="45" customWidth="1"/>
    <col min="9747" max="9747" width="5.83203125" style="45" customWidth="1"/>
    <col min="9748" max="9748" width="24.5" style="45" customWidth="1"/>
    <col min="9749" max="9749" width="6.33203125" style="45" customWidth="1"/>
    <col min="9750" max="9750" width="2.6640625" style="45" customWidth="1"/>
    <col min="9751" max="9751" width="16.5" style="45" customWidth="1"/>
    <col min="9752" max="9752" width="2.1640625" style="45" customWidth="1"/>
    <col min="9753" max="9753" width="12" style="45" customWidth="1"/>
    <col min="9754" max="9754" width="8.1640625" style="45" customWidth="1"/>
    <col min="9755" max="9755" width="17" style="45" customWidth="1"/>
    <col min="9756" max="9756" width="2.33203125" style="45" customWidth="1"/>
    <col min="9757" max="9757" width="12" style="45" customWidth="1"/>
    <col min="9758" max="9758" width="8.5" style="45" customWidth="1"/>
    <col min="9759" max="9759" width="16.6640625" style="45" customWidth="1"/>
    <col min="9760" max="9760" width="2.6640625" style="45" customWidth="1"/>
    <col min="9761" max="9761" width="12" style="45" customWidth="1"/>
    <col min="9762" max="9762" width="8.83203125" style="45" customWidth="1"/>
    <col min="9763" max="9763" width="17.6640625" style="45" customWidth="1"/>
    <col min="9764" max="9764" width="2.1640625" style="45" customWidth="1"/>
    <col min="9765" max="9765" width="12" style="45" customWidth="1"/>
    <col min="9766" max="9766" width="3.1640625" style="45" customWidth="1"/>
    <col min="9767" max="9767" width="11.83203125" style="45" customWidth="1"/>
    <col min="9768" max="9768" width="4" style="45" customWidth="1"/>
    <col min="9769" max="9769" width="11.5" style="45" customWidth="1"/>
    <col min="9770" max="9770" width="2.5" style="45" customWidth="1"/>
    <col min="9771" max="9771" width="9.33203125" style="45"/>
    <col min="9772" max="9772" width="2" style="45" customWidth="1"/>
    <col min="9773" max="9773" width="2.6640625" style="45" customWidth="1"/>
    <col min="9774" max="9984" width="9.33203125" style="45"/>
    <col min="9985" max="9986" width="2.5" style="45" customWidth="1"/>
    <col min="9987" max="9987" width="2" style="45" customWidth="1"/>
    <col min="9988" max="9988" width="2.33203125" style="45" customWidth="1"/>
    <col min="9989" max="9989" width="18.6640625" style="45" customWidth="1"/>
    <col min="9990" max="9990" width="19" style="45" customWidth="1"/>
    <col min="9991" max="9991" width="19.33203125" style="45" customWidth="1"/>
    <col min="9992" max="9992" width="19.83203125" style="45" customWidth="1"/>
    <col min="9993" max="9993" width="19.1640625" style="45" customWidth="1"/>
    <col min="9994" max="9994" width="21.5" style="45" customWidth="1"/>
    <col min="9995" max="9995" width="2.1640625" style="45" customWidth="1"/>
    <col min="9996" max="9996" width="10.33203125" style="45" customWidth="1"/>
    <col min="9997" max="9997" width="2.5" style="45" customWidth="1"/>
    <col min="9998" max="9998" width="23.33203125" style="45" customWidth="1"/>
    <col min="9999" max="9999" width="13.83203125" style="45" customWidth="1"/>
    <col min="10000" max="10000" width="19" style="45" customWidth="1"/>
    <col min="10001" max="10002" width="10.33203125" style="45" customWidth="1"/>
    <col min="10003" max="10003" width="5.83203125" style="45" customWidth="1"/>
    <col min="10004" max="10004" width="24.5" style="45" customWidth="1"/>
    <col min="10005" max="10005" width="6.33203125" style="45" customWidth="1"/>
    <col min="10006" max="10006" width="2.6640625" style="45" customWidth="1"/>
    <col min="10007" max="10007" width="16.5" style="45" customWidth="1"/>
    <col min="10008" max="10008" width="2.1640625" style="45" customWidth="1"/>
    <col min="10009" max="10009" width="12" style="45" customWidth="1"/>
    <col min="10010" max="10010" width="8.1640625" style="45" customWidth="1"/>
    <col min="10011" max="10011" width="17" style="45" customWidth="1"/>
    <col min="10012" max="10012" width="2.33203125" style="45" customWidth="1"/>
    <col min="10013" max="10013" width="12" style="45" customWidth="1"/>
    <col min="10014" max="10014" width="8.5" style="45" customWidth="1"/>
    <col min="10015" max="10015" width="16.6640625" style="45" customWidth="1"/>
    <col min="10016" max="10016" width="2.6640625" style="45" customWidth="1"/>
    <col min="10017" max="10017" width="12" style="45" customWidth="1"/>
    <col min="10018" max="10018" width="8.83203125" style="45" customWidth="1"/>
    <col min="10019" max="10019" width="17.6640625" style="45" customWidth="1"/>
    <col min="10020" max="10020" width="2.1640625" style="45" customWidth="1"/>
    <col min="10021" max="10021" width="12" style="45" customWidth="1"/>
    <col min="10022" max="10022" width="3.1640625" style="45" customWidth="1"/>
    <col min="10023" max="10023" width="11.83203125" style="45" customWidth="1"/>
    <col min="10024" max="10024" width="4" style="45" customWidth="1"/>
    <col min="10025" max="10025" width="11.5" style="45" customWidth="1"/>
    <col min="10026" max="10026" width="2.5" style="45" customWidth="1"/>
    <col min="10027" max="10027" width="9.33203125" style="45"/>
    <col min="10028" max="10028" width="2" style="45" customWidth="1"/>
    <col min="10029" max="10029" width="2.6640625" style="45" customWidth="1"/>
    <col min="10030" max="10240" width="9.33203125" style="45"/>
    <col min="10241" max="10242" width="2.5" style="45" customWidth="1"/>
    <col min="10243" max="10243" width="2" style="45" customWidth="1"/>
    <col min="10244" max="10244" width="2.33203125" style="45" customWidth="1"/>
    <col min="10245" max="10245" width="18.6640625" style="45" customWidth="1"/>
    <col min="10246" max="10246" width="19" style="45" customWidth="1"/>
    <col min="10247" max="10247" width="19.33203125" style="45" customWidth="1"/>
    <col min="10248" max="10248" width="19.83203125" style="45" customWidth="1"/>
    <col min="10249" max="10249" width="19.1640625" style="45" customWidth="1"/>
    <col min="10250" max="10250" width="21.5" style="45" customWidth="1"/>
    <col min="10251" max="10251" width="2.1640625" style="45" customWidth="1"/>
    <col min="10252" max="10252" width="10.33203125" style="45" customWidth="1"/>
    <col min="10253" max="10253" width="2.5" style="45" customWidth="1"/>
    <col min="10254" max="10254" width="23.33203125" style="45" customWidth="1"/>
    <col min="10255" max="10255" width="13.83203125" style="45" customWidth="1"/>
    <col min="10256" max="10256" width="19" style="45" customWidth="1"/>
    <col min="10257" max="10258" width="10.33203125" style="45" customWidth="1"/>
    <col min="10259" max="10259" width="5.83203125" style="45" customWidth="1"/>
    <col min="10260" max="10260" width="24.5" style="45" customWidth="1"/>
    <col min="10261" max="10261" width="6.33203125" style="45" customWidth="1"/>
    <col min="10262" max="10262" width="2.6640625" style="45" customWidth="1"/>
    <col min="10263" max="10263" width="16.5" style="45" customWidth="1"/>
    <col min="10264" max="10264" width="2.1640625" style="45" customWidth="1"/>
    <col min="10265" max="10265" width="12" style="45" customWidth="1"/>
    <col min="10266" max="10266" width="8.1640625" style="45" customWidth="1"/>
    <col min="10267" max="10267" width="17" style="45" customWidth="1"/>
    <col min="10268" max="10268" width="2.33203125" style="45" customWidth="1"/>
    <col min="10269" max="10269" width="12" style="45" customWidth="1"/>
    <col min="10270" max="10270" width="8.5" style="45" customWidth="1"/>
    <col min="10271" max="10271" width="16.6640625" style="45" customWidth="1"/>
    <col min="10272" max="10272" width="2.6640625" style="45" customWidth="1"/>
    <col min="10273" max="10273" width="12" style="45" customWidth="1"/>
    <col min="10274" max="10274" width="8.83203125" style="45" customWidth="1"/>
    <col min="10275" max="10275" width="17.6640625" style="45" customWidth="1"/>
    <col min="10276" max="10276" width="2.1640625" style="45" customWidth="1"/>
    <col min="10277" max="10277" width="12" style="45" customWidth="1"/>
    <col min="10278" max="10278" width="3.1640625" style="45" customWidth="1"/>
    <col min="10279" max="10279" width="11.83203125" style="45" customWidth="1"/>
    <col min="10280" max="10280" width="4" style="45" customWidth="1"/>
    <col min="10281" max="10281" width="11.5" style="45" customWidth="1"/>
    <col min="10282" max="10282" width="2.5" style="45" customWidth="1"/>
    <col min="10283" max="10283" width="9.33203125" style="45"/>
    <col min="10284" max="10284" width="2" style="45" customWidth="1"/>
    <col min="10285" max="10285" width="2.6640625" style="45" customWidth="1"/>
    <col min="10286" max="10496" width="9.33203125" style="45"/>
    <col min="10497" max="10498" width="2.5" style="45" customWidth="1"/>
    <col min="10499" max="10499" width="2" style="45" customWidth="1"/>
    <col min="10500" max="10500" width="2.33203125" style="45" customWidth="1"/>
    <col min="10501" max="10501" width="18.6640625" style="45" customWidth="1"/>
    <col min="10502" max="10502" width="19" style="45" customWidth="1"/>
    <col min="10503" max="10503" width="19.33203125" style="45" customWidth="1"/>
    <col min="10504" max="10504" width="19.83203125" style="45" customWidth="1"/>
    <col min="10505" max="10505" width="19.1640625" style="45" customWidth="1"/>
    <col min="10506" max="10506" width="21.5" style="45" customWidth="1"/>
    <col min="10507" max="10507" width="2.1640625" style="45" customWidth="1"/>
    <col min="10508" max="10508" width="10.33203125" style="45" customWidth="1"/>
    <col min="10509" max="10509" width="2.5" style="45" customWidth="1"/>
    <col min="10510" max="10510" width="23.33203125" style="45" customWidth="1"/>
    <col min="10511" max="10511" width="13.83203125" style="45" customWidth="1"/>
    <col min="10512" max="10512" width="19" style="45" customWidth="1"/>
    <col min="10513" max="10514" width="10.33203125" style="45" customWidth="1"/>
    <col min="10515" max="10515" width="5.83203125" style="45" customWidth="1"/>
    <col min="10516" max="10516" width="24.5" style="45" customWidth="1"/>
    <col min="10517" max="10517" width="6.33203125" style="45" customWidth="1"/>
    <col min="10518" max="10518" width="2.6640625" style="45" customWidth="1"/>
    <col min="10519" max="10519" width="16.5" style="45" customWidth="1"/>
    <col min="10520" max="10520" width="2.1640625" style="45" customWidth="1"/>
    <col min="10521" max="10521" width="12" style="45" customWidth="1"/>
    <col min="10522" max="10522" width="8.1640625" style="45" customWidth="1"/>
    <col min="10523" max="10523" width="17" style="45" customWidth="1"/>
    <col min="10524" max="10524" width="2.33203125" style="45" customWidth="1"/>
    <col min="10525" max="10525" width="12" style="45" customWidth="1"/>
    <col min="10526" max="10526" width="8.5" style="45" customWidth="1"/>
    <col min="10527" max="10527" width="16.6640625" style="45" customWidth="1"/>
    <col min="10528" max="10528" width="2.6640625" style="45" customWidth="1"/>
    <col min="10529" max="10529" width="12" style="45" customWidth="1"/>
    <col min="10530" max="10530" width="8.83203125" style="45" customWidth="1"/>
    <col min="10531" max="10531" width="17.6640625" style="45" customWidth="1"/>
    <col min="10532" max="10532" width="2.1640625" style="45" customWidth="1"/>
    <col min="10533" max="10533" width="12" style="45" customWidth="1"/>
    <col min="10534" max="10534" width="3.1640625" style="45" customWidth="1"/>
    <col min="10535" max="10535" width="11.83203125" style="45" customWidth="1"/>
    <col min="10536" max="10536" width="4" style="45" customWidth="1"/>
    <col min="10537" max="10537" width="11.5" style="45" customWidth="1"/>
    <col min="10538" max="10538" width="2.5" style="45" customWidth="1"/>
    <col min="10539" max="10539" width="9.33203125" style="45"/>
    <col min="10540" max="10540" width="2" style="45" customWidth="1"/>
    <col min="10541" max="10541" width="2.6640625" style="45" customWidth="1"/>
    <col min="10542" max="10752" width="9.33203125" style="45"/>
    <col min="10753" max="10754" width="2.5" style="45" customWidth="1"/>
    <col min="10755" max="10755" width="2" style="45" customWidth="1"/>
    <col min="10756" max="10756" width="2.33203125" style="45" customWidth="1"/>
    <col min="10757" max="10757" width="18.6640625" style="45" customWidth="1"/>
    <col min="10758" max="10758" width="19" style="45" customWidth="1"/>
    <col min="10759" max="10759" width="19.33203125" style="45" customWidth="1"/>
    <col min="10760" max="10760" width="19.83203125" style="45" customWidth="1"/>
    <col min="10761" max="10761" width="19.1640625" style="45" customWidth="1"/>
    <col min="10762" max="10762" width="21.5" style="45" customWidth="1"/>
    <col min="10763" max="10763" width="2.1640625" style="45" customWidth="1"/>
    <col min="10764" max="10764" width="10.33203125" style="45" customWidth="1"/>
    <col min="10765" max="10765" width="2.5" style="45" customWidth="1"/>
    <col min="10766" max="10766" width="23.33203125" style="45" customWidth="1"/>
    <col min="10767" max="10767" width="13.83203125" style="45" customWidth="1"/>
    <col min="10768" max="10768" width="19" style="45" customWidth="1"/>
    <col min="10769" max="10770" width="10.33203125" style="45" customWidth="1"/>
    <col min="10771" max="10771" width="5.83203125" style="45" customWidth="1"/>
    <col min="10772" max="10772" width="24.5" style="45" customWidth="1"/>
    <col min="10773" max="10773" width="6.33203125" style="45" customWidth="1"/>
    <col min="10774" max="10774" width="2.6640625" style="45" customWidth="1"/>
    <col min="10775" max="10775" width="16.5" style="45" customWidth="1"/>
    <col min="10776" max="10776" width="2.1640625" style="45" customWidth="1"/>
    <col min="10777" max="10777" width="12" style="45" customWidth="1"/>
    <col min="10778" max="10778" width="8.1640625" style="45" customWidth="1"/>
    <col min="10779" max="10779" width="17" style="45" customWidth="1"/>
    <col min="10780" max="10780" width="2.33203125" style="45" customWidth="1"/>
    <col min="10781" max="10781" width="12" style="45" customWidth="1"/>
    <col min="10782" max="10782" width="8.5" style="45" customWidth="1"/>
    <col min="10783" max="10783" width="16.6640625" style="45" customWidth="1"/>
    <col min="10784" max="10784" width="2.6640625" style="45" customWidth="1"/>
    <col min="10785" max="10785" width="12" style="45" customWidth="1"/>
    <col min="10786" max="10786" width="8.83203125" style="45" customWidth="1"/>
    <col min="10787" max="10787" width="17.6640625" style="45" customWidth="1"/>
    <col min="10788" max="10788" width="2.1640625" style="45" customWidth="1"/>
    <col min="10789" max="10789" width="12" style="45" customWidth="1"/>
    <col min="10790" max="10790" width="3.1640625" style="45" customWidth="1"/>
    <col min="10791" max="10791" width="11.83203125" style="45" customWidth="1"/>
    <col min="10792" max="10792" width="4" style="45" customWidth="1"/>
    <col min="10793" max="10793" width="11.5" style="45" customWidth="1"/>
    <col min="10794" max="10794" width="2.5" style="45" customWidth="1"/>
    <col min="10795" max="10795" width="9.33203125" style="45"/>
    <col min="10796" max="10796" width="2" style="45" customWidth="1"/>
    <col min="10797" max="10797" width="2.6640625" style="45" customWidth="1"/>
    <col min="10798" max="11008" width="9.33203125" style="45"/>
    <col min="11009" max="11010" width="2.5" style="45" customWidth="1"/>
    <col min="11011" max="11011" width="2" style="45" customWidth="1"/>
    <col min="11012" max="11012" width="2.33203125" style="45" customWidth="1"/>
    <col min="11013" max="11013" width="18.6640625" style="45" customWidth="1"/>
    <col min="11014" max="11014" width="19" style="45" customWidth="1"/>
    <col min="11015" max="11015" width="19.33203125" style="45" customWidth="1"/>
    <col min="11016" max="11016" width="19.83203125" style="45" customWidth="1"/>
    <col min="11017" max="11017" width="19.1640625" style="45" customWidth="1"/>
    <col min="11018" max="11018" width="21.5" style="45" customWidth="1"/>
    <col min="11019" max="11019" width="2.1640625" style="45" customWidth="1"/>
    <col min="11020" max="11020" width="10.33203125" style="45" customWidth="1"/>
    <col min="11021" max="11021" width="2.5" style="45" customWidth="1"/>
    <col min="11022" max="11022" width="23.33203125" style="45" customWidth="1"/>
    <col min="11023" max="11023" width="13.83203125" style="45" customWidth="1"/>
    <col min="11024" max="11024" width="19" style="45" customWidth="1"/>
    <col min="11025" max="11026" width="10.33203125" style="45" customWidth="1"/>
    <col min="11027" max="11027" width="5.83203125" style="45" customWidth="1"/>
    <col min="11028" max="11028" width="24.5" style="45" customWidth="1"/>
    <col min="11029" max="11029" width="6.33203125" style="45" customWidth="1"/>
    <col min="11030" max="11030" width="2.6640625" style="45" customWidth="1"/>
    <col min="11031" max="11031" width="16.5" style="45" customWidth="1"/>
    <col min="11032" max="11032" width="2.1640625" style="45" customWidth="1"/>
    <col min="11033" max="11033" width="12" style="45" customWidth="1"/>
    <col min="11034" max="11034" width="8.1640625" style="45" customWidth="1"/>
    <col min="11035" max="11035" width="17" style="45" customWidth="1"/>
    <col min="11036" max="11036" width="2.33203125" style="45" customWidth="1"/>
    <col min="11037" max="11037" width="12" style="45" customWidth="1"/>
    <col min="11038" max="11038" width="8.5" style="45" customWidth="1"/>
    <col min="11039" max="11039" width="16.6640625" style="45" customWidth="1"/>
    <col min="11040" max="11040" width="2.6640625" style="45" customWidth="1"/>
    <col min="11041" max="11041" width="12" style="45" customWidth="1"/>
    <col min="11042" max="11042" width="8.83203125" style="45" customWidth="1"/>
    <col min="11043" max="11043" width="17.6640625" style="45" customWidth="1"/>
    <col min="11044" max="11044" width="2.1640625" style="45" customWidth="1"/>
    <col min="11045" max="11045" width="12" style="45" customWidth="1"/>
    <col min="11046" max="11046" width="3.1640625" style="45" customWidth="1"/>
    <col min="11047" max="11047" width="11.83203125" style="45" customWidth="1"/>
    <col min="11048" max="11048" width="4" style="45" customWidth="1"/>
    <col min="11049" max="11049" width="11.5" style="45" customWidth="1"/>
    <col min="11050" max="11050" width="2.5" style="45" customWidth="1"/>
    <col min="11051" max="11051" width="9.33203125" style="45"/>
    <col min="11052" max="11052" width="2" style="45" customWidth="1"/>
    <col min="11053" max="11053" width="2.6640625" style="45" customWidth="1"/>
    <col min="11054" max="11264" width="9.33203125" style="45"/>
    <col min="11265" max="11266" width="2.5" style="45" customWidth="1"/>
    <col min="11267" max="11267" width="2" style="45" customWidth="1"/>
    <col min="11268" max="11268" width="2.33203125" style="45" customWidth="1"/>
    <col min="11269" max="11269" width="18.6640625" style="45" customWidth="1"/>
    <col min="11270" max="11270" width="19" style="45" customWidth="1"/>
    <col min="11271" max="11271" width="19.33203125" style="45" customWidth="1"/>
    <col min="11272" max="11272" width="19.83203125" style="45" customWidth="1"/>
    <col min="11273" max="11273" width="19.1640625" style="45" customWidth="1"/>
    <col min="11274" max="11274" width="21.5" style="45" customWidth="1"/>
    <col min="11275" max="11275" width="2.1640625" style="45" customWidth="1"/>
    <col min="11276" max="11276" width="10.33203125" style="45" customWidth="1"/>
    <col min="11277" max="11277" width="2.5" style="45" customWidth="1"/>
    <col min="11278" max="11278" width="23.33203125" style="45" customWidth="1"/>
    <col min="11279" max="11279" width="13.83203125" style="45" customWidth="1"/>
    <col min="11280" max="11280" width="19" style="45" customWidth="1"/>
    <col min="11281" max="11282" width="10.33203125" style="45" customWidth="1"/>
    <col min="11283" max="11283" width="5.83203125" style="45" customWidth="1"/>
    <col min="11284" max="11284" width="24.5" style="45" customWidth="1"/>
    <col min="11285" max="11285" width="6.33203125" style="45" customWidth="1"/>
    <col min="11286" max="11286" width="2.6640625" style="45" customWidth="1"/>
    <col min="11287" max="11287" width="16.5" style="45" customWidth="1"/>
    <col min="11288" max="11288" width="2.1640625" style="45" customWidth="1"/>
    <col min="11289" max="11289" width="12" style="45" customWidth="1"/>
    <col min="11290" max="11290" width="8.1640625" style="45" customWidth="1"/>
    <col min="11291" max="11291" width="17" style="45" customWidth="1"/>
    <col min="11292" max="11292" width="2.33203125" style="45" customWidth="1"/>
    <col min="11293" max="11293" width="12" style="45" customWidth="1"/>
    <col min="11294" max="11294" width="8.5" style="45" customWidth="1"/>
    <col min="11295" max="11295" width="16.6640625" style="45" customWidth="1"/>
    <col min="11296" max="11296" width="2.6640625" style="45" customWidth="1"/>
    <col min="11297" max="11297" width="12" style="45" customWidth="1"/>
    <col min="11298" max="11298" width="8.83203125" style="45" customWidth="1"/>
    <col min="11299" max="11299" width="17.6640625" style="45" customWidth="1"/>
    <col min="11300" max="11300" width="2.1640625" style="45" customWidth="1"/>
    <col min="11301" max="11301" width="12" style="45" customWidth="1"/>
    <col min="11302" max="11302" width="3.1640625" style="45" customWidth="1"/>
    <col min="11303" max="11303" width="11.83203125" style="45" customWidth="1"/>
    <col min="11304" max="11304" width="4" style="45" customWidth="1"/>
    <col min="11305" max="11305" width="11.5" style="45" customWidth="1"/>
    <col min="11306" max="11306" width="2.5" style="45" customWidth="1"/>
    <col min="11307" max="11307" width="9.33203125" style="45"/>
    <col min="11308" max="11308" width="2" style="45" customWidth="1"/>
    <col min="11309" max="11309" width="2.6640625" style="45" customWidth="1"/>
    <col min="11310" max="11520" width="9.33203125" style="45"/>
    <col min="11521" max="11522" width="2.5" style="45" customWidth="1"/>
    <col min="11523" max="11523" width="2" style="45" customWidth="1"/>
    <col min="11524" max="11524" width="2.33203125" style="45" customWidth="1"/>
    <col min="11525" max="11525" width="18.6640625" style="45" customWidth="1"/>
    <col min="11526" max="11526" width="19" style="45" customWidth="1"/>
    <col min="11527" max="11527" width="19.33203125" style="45" customWidth="1"/>
    <col min="11528" max="11528" width="19.83203125" style="45" customWidth="1"/>
    <col min="11529" max="11529" width="19.1640625" style="45" customWidth="1"/>
    <col min="11530" max="11530" width="21.5" style="45" customWidth="1"/>
    <col min="11531" max="11531" width="2.1640625" style="45" customWidth="1"/>
    <col min="11532" max="11532" width="10.33203125" style="45" customWidth="1"/>
    <col min="11533" max="11533" width="2.5" style="45" customWidth="1"/>
    <col min="11534" max="11534" width="23.33203125" style="45" customWidth="1"/>
    <col min="11535" max="11535" width="13.83203125" style="45" customWidth="1"/>
    <col min="11536" max="11536" width="19" style="45" customWidth="1"/>
    <col min="11537" max="11538" width="10.33203125" style="45" customWidth="1"/>
    <col min="11539" max="11539" width="5.83203125" style="45" customWidth="1"/>
    <col min="11540" max="11540" width="24.5" style="45" customWidth="1"/>
    <col min="11541" max="11541" width="6.33203125" style="45" customWidth="1"/>
    <col min="11542" max="11542" width="2.6640625" style="45" customWidth="1"/>
    <col min="11543" max="11543" width="16.5" style="45" customWidth="1"/>
    <col min="11544" max="11544" width="2.1640625" style="45" customWidth="1"/>
    <col min="11545" max="11545" width="12" style="45" customWidth="1"/>
    <col min="11546" max="11546" width="8.1640625" style="45" customWidth="1"/>
    <col min="11547" max="11547" width="17" style="45" customWidth="1"/>
    <col min="11548" max="11548" width="2.33203125" style="45" customWidth="1"/>
    <col min="11549" max="11549" width="12" style="45" customWidth="1"/>
    <col min="11550" max="11550" width="8.5" style="45" customWidth="1"/>
    <col min="11551" max="11551" width="16.6640625" style="45" customWidth="1"/>
    <col min="11552" max="11552" width="2.6640625" style="45" customWidth="1"/>
    <col min="11553" max="11553" width="12" style="45" customWidth="1"/>
    <col min="11554" max="11554" width="8.83203125" style="45" customWidth="1"/>
    <col min="11555" max="11555" width="17.6640625" style="45" customWidth="1"/>
    <col min="11556" max="11556" width="2.1640625" style="45" customWidth="1"/>
    <col min="11557" max="11557" width="12" style="45" customWidth="1"/>
    <col min="11558" max="11558" width="3.1640625" style="45" customWidth="1"/>
    <col min="11559" max="11559" width="11.83203125" style="45" customWidth="1"/>
    <col min="11560" max="11560" width="4" style="45" customWidth="1"/>
    <col min="11561" max="11561" width="11.5" style="45" customWidth="1"/>
    <col min="11562" max="11562" width="2.5" style="45" customWidth="1"/>
    <col min="11563" max="11563" width="9.33203125" style="45"/>
    <col min="11564" max="11564" width="2" style="45" customWidth="1"/>
    <col min="11565" max="11565" width="2.6640625" style="45" customWidth="1"/>
    <col min="11566" max="11776" width="9.33203125" style="45"/>
    <col min="11777" max="11778" width="2.5" style="45" customWidth="1"/>
    <col min="11779" max="11779" width="2" style="45" customWidth="1"/>
    <col min="11780" max="11780" width="2.33203125" style="45" customWidth="1"/>
    <col min="11781" max="11781" width="18.6640625" style="45" customWidth="1"/>
    <col min="11782" max="11782" width="19" style="45" customWidth="1"/>
    <col min="11783" max="11783" width="19.33203125" style="45" customWidth="1"/>
    <col min="11784" max="11784" width="19.83203125" style="45" customWidth="1"/>
    <col min="11785" max="11785" width="19.1640625" style="45" customWidth="1"/>
    <col min="11786" max="11786" width="21.5" style="45" customWidth="1"/>
    <col min="11787" max="11787" width="2.1640625" style="45" customWidth="1"/>
    <col min="11788" max="11788" width="10.33203125" style="45" customWidth="1"/>
    <col min="11789" max="11789" width="2.5" style="45" customWidth="1"/>
    <col min="11790" max="11790" width="23.33203125" style="45" customWidth="1"/>
    <col min="11791" max="11791" width="13.83203125" style="45" customWidth="1"/>
    <col min="11792" max="11792" width="19" style="45" customWidth="1"/>
    <col min="11793" max="11794" width="10.33203125" style="45" customWidth="1"/>
    <col min="11795" max="11795" width="5.83203125" style="45" customWidth="1"/>
    <col min="11796" max="11796" width="24.5" style="45" customWidth="1"/>
    <col min="11797" max="11797" width="6.33203125" style="45" customWidth="1"/>
    <col min="11798" max="11798" width="2.6640625" style="45" customWidth="1"/>
    <col min="11799" max="11799" width="16.5" style="45" customWidth="1"/>
    <col min="11800" max="11800" width="2.1640625" style="45" customWidth="1"/>
    <col min="11801" max="11801" width="12" style="45" customWidth="1"/>
    <col min="11802" max="11802" width="8.1640625" style="45" customWidth="1"/>
    <col min="11803" max="11803" width="17" style="45" customWidth="1"/>
    <col min="11804" max="11804" width="2.33203125" style="45" customWidth="1"/>
    <col min="11805" max="11805" width="12" style="45" customWidth="1"/>
    <col min="11806" max="11806" width="8.5" style="45" customWidth="1"/>
    <col min="11807" max="11807" width="16.6640625" style="45" customWidth="1"/>
    <col min="11808" max="11808" width="2.6640625" style="45" customWidth="1"/>
    <col min="11809" max="11809" width="12" style="45" customWidth="1"/>
    <col min="11810" max="11810" width="8.83203125" style="45" customWidth="1"/>
    <col min="11811" max="11811" width="17.6640625" style="45" customWidth="1"/>
    <col min="11812" max="11812" width="2.1640625" style="45" customWidth="1"/>
    <col min="11813" max="11813" width="12" style="45" customWidth="1"/>
    <col min="11814" max="11814" width="3.1640625" style="45" customWidth="1"/>
    <col min="11815" max="11815" width="11.83203125" style="45" customWidth="1"/>
    <col min="11816" max="11816" width="4" style="45" customWidth="1"/>
    <col min="11817" max="11817" width="11.5" style="45" customWidth="1"/>
    <col min="11818" max="11818" width="2.5" style="45" customWidth="1"/>
    <col min="11819" max="11819" width="9.33203125" style="45"/>
    <col min="11820" max="11820" width="2" style="45" customWidth="1"/>
    <col min="11821" max="11821" width="2.6640625" style="45" customWidth="1"/>
    <col min="11822" max="12032" width="9.33203125" style="45"/>
    <col min="12033" max="12034" width="2.5" style="45" customWidth="1"/>
    <col min="12035" max="12035" width="2" style="45" customWidth="1"/>
    <col min="12036" max="12036" width="2.33203125" style="45" customWidth="1"/>
    <col min="12037" max="12037" width="18.6640625" style="45" customWidth="1"/>
    <col min="12038" max="12038" width="19" style="45" customWidth="1"/>
    <col min="12039" max="12039" width="19.33203125" style="45" customWidth="1"/>
    <col min="12040" max="12040" width="19.83203125" style="45" customWidth="1"/>
    <col min="12041" max="12041" width="19.1640625" style="45" customWidth="1"/>
    <col min="12042" max="12042" width="21.5" style="45" customWidth="1"/>
    <col min="12043" max="12043" width="2.1640625" style="45" customWidth="1"/>
    <col min="12044" max="12044" width="10.33203125" style="45" customWidth="1"/>
    <col min="12045" max="12045" width="2.5" style="45" customWidth="1"/>
    <col min="12046" max="12046" width="23.33203125" style="45" customWidth="1"/>
    <col min="12047" max="12047" width="13.83203125" style="45" customWidth="1"/>
    <col min="12048" max="12048" width="19" style="45" customWidth="1"/>
    <col min="12049" max="12050" width="10.33203125" style="45" customWidth="1"/>
    <col min="12051" max="12051" width="5.83203125" style="45" customWidth="1"/>
    <col min="12052" max="12052" width="24.5" style="45" customWidth="1"/>
    <col min="12053" max="12053" width="6.33203125" style="45" customWidth="1"/>
    <col min="12054" max="12054" width="2.6640625" style="45" customWidth="1"/>
    <col min="12055" max="12055" width="16.5" style="45" customWidth="1"/>
    <col min="12056" max="12056" width="2.1640625" style="45" customWidth="1"/>
    <col min="12057" max="12057" width="12" style="45" customWidth="1"/>
    <col min="12058" max="12058" width="8.1640625" style="45" customWidth="1"/>
    <col min="12059" max="12059" width="17" style="45" customWidth="1"/>
    <col min="12060" max="12060" width="2.33203125" style="45" customWidth="1"/>
    <col min="12061" max="12061" width="12" style="45" customWidth="1"/>
    <col min="12062" max="12062" width="8.5" style="45" customWidth="1"/>
    <col min="12063" max="12063" width="16.6640625" style="45" customWidth="1"/>
    <col min="12064" max="12064" width="2.6640625" style="45" customWidth="1"/>
    <col min="12065" max="12065" width="12" style="45" customWidth="1"/>
    <col min="12066" max="12066" width="8.83203125" style="45" customWidth="1"/>
    <col min="12067" max="12067" width="17.6640625" style="45" customWidth="1"/>
    <col min="12068" max="12068" width="2.1640625" style="45" customWidth="1"/>
    <col min="12069" max="12069" width="12" style="45" customWidth="1"/>
    <col min="12070" max="12070" width="3.1640625" style="45" customWidth="1"/>
    <col min="12071" max="12071" width="11.83203125" style="45" customWidth="1"/>
    <col min="12072" max="12072" width="4" style="45" customWidth="1"/>
    <col min="12073" max="12073" width="11.5" style="45" customWidth="1"/>
    <col min="12074" max="12074" width="2.5" style="45" customWidth="1"/>
    <col min="12075" max="12075" width="9.33203125" style="45"/>
    <col min="12076" max="12076" width="2" style="45" customWidth="1"/>
    <col min="12077" max="12077" width="2.6640625" style="45" customWidth="1"/>
    <col min="12078" max="12288" width="9.33203125" style="45"/>
    <col min="12289" max="12290" width="2.5" style="45" customWidth="1"/>
    <col min="12291" max="12291" width="2" style="45" customWidth="1"/>
    <col min="12292" max="12292" width="2.33203125" style="45" customWidth="1"/>
    <col min="12293" max="12293" width="18.6640625" style="45" customWidth="1"/>
    <col min="12294" max="12294" width="19" style="45" customWidth="1"/>
    <col min="12295" max="12295" width="19.33203125" style="45" customWidth="1"/>
    <col min="12296" max="12296" width="19.83203125" style="45" customWidth="1"/>
    <col min="12297" max="12297" width="19.1640625" style="45" customWidth="1"/>
    <col min="12298" max="12298" width="21.5" style="45" customWidth="1"/>
    <col min="12299" max="12299" width="2.1640625" style="45" customWidth="1"/>
    <col min="12300" max="12300" width="10.33203125" style="45" customWidth="1"/>
    <col min="12301" max="12301" width="2.5" style="45" customWidth="1"/>
    <col min="12302" max="12302" width="23.33203125" style="45" customWidth="1"/>
    <col min="12303" max="12303" width="13.83203125" style="45" customWidth="1"/>
    <col min="12304" max="12304" width="19" style="45" customWidth="1"/>
    <col min="12305" max="12306" width="10.33203125" style="45" customWidth="1"/>
    <col min="12307" max="12307" width="5.83203125" style="45" customWidth="1"/>
    <col min="12308" max="12308" width="24.5" style="45" customWidth="1"/>
    <col min="12309" max="12309" width="6.33203125" style="45" customWidth="1"/>
    <col min="12310" max="12310" width="2.6640625" style="45" customWidth="1"/>
    <col min="12311" max="12311" width="16.5" style="45" customWidth="1"/>
    <col min="12312" max="12312" width="2.1640625" style="45" customWidth="1"/>
    <col min="12313" max="12313" width="12" style="45" customWidth="1"/>
    <col min="12314" max="12314" width="8.1640625" style="45" customWidth="1"/>
    <col min="12315" max="12315" width="17" style="45" customWidth="1"/>
    <col min="12316" max="12316" width="2.33203125" style="45" customWidth="1"/>
    <col min="12317" max="12317" width="12" style="45" customWidth="1"/>
    <col min="12318" max="12318" width="8.5" style="45" customWidth="1"/>
    <col min="12319" max="12319" width="16.6640625" style="45" customWidth="1"/>
    <col min="12320" max="12320" width="2.6640625" style="45" customWidth="1"/>
    <col min="12321" max="12321" width="12" style="45" customWidth="1"/>
    <col min="12322" max="12322" width="8.83203125" style="45" customWidth="1"/>
    <col min="12323" max="12323" width="17.6640625" style="45" customWidth="1"/>
    <col min="12324" max="12324" width="2.1640625" style="45" customWidth="1"/>
    <col min="12325" max="12325" width="12" style="45" customWidth="1"/>
    <col min="12326" max="12326" width="3.1640625" style="45" customWidth="1"/>
    <col min="12327" max="12327" width="11.83203125" style="45" customWidth="1"/>
    <col min="12328" max="12328" width="4" style="45" customWidth="1"/>
    <col min="12329" max="12329" width="11.5" style="45" customWidth="1"/>
    <col min="12330" max="12330" width="2.5" style="45" customWidth="1"/>
    <col min="12331" max="12331" width="9.33203125" style="45"/>
    <col min="12332" max="12332" width="2" style="45" customWidth="1"/>
    <col min="12333" max="12333" width="2.6640625" style="45" customWidth="1"/>
    <col min="12334" max="12544" width="9.33203125" style="45"/>
    <col min="12545" max="12546" width="2.5" style="45" customWidth="1"/>
    <col min="12547" max="12547" width="2" style="45" customWidth="1"/>
    <col min="12548" max="12548" width="2.33203125" style="45" customWidth="1"/>
    <col min="12549" max="12549" width="18.6640625" style="45" customWidth="1"/>
    <col min="12550" max="12550" width="19" style="45" customWidth="1"/>
    <col min="12551" max="12551" width="19.33203125" style="45" customWidth="1"/>
    <col min="12552" max="12552" width="19.83203125" style="45" customWidth="1"/>
    <col min="12553" max="12553" width="19.1640625" style="45" customWidth="1"/>
    <col min="12554" max="12554" width="21.5" style="45" customWidth="1"/>
    <col min="12555" max="12555" width="2.1640625" style="45" customWidth="1"/>
    <col min="12556" max="12556" width="10.33203125" style="45" customWidth="1"/>
    <col min="12557" max="12557" width="2.5" style="45" customWidth="1"/>
    <col min="12558" max="12558" width="23.33203125" style="45" customWidth="1"/>
    <col min="12559" max="12559" width="13.83203125" style="45" customWidth="1"/>
    <col min="12560" max="12560" width="19" style="45" customWidth="1"/>
    <col min="12561" max="12562" width="10.33203125" style="45" customWidth="1"/>
    <col min="12563" max="12563" width="5.83203125" style="45" customWidth="1"/>
    <col min="12564" max="12564" width="24.5" style="45" customWidth="1"/>
    <col min="12565" max="12565" width="6.33203125" style="45" customWidth="1"/>
    <col min="12566" max="12566" width="2.6640625" style="45" customWidth="1"/>
    <col min="12567" max="12567" width="16.5" style="45" customWidth="1"/>
    <col min="12568" max="12568" width="2.1640625" style="45" customWidth="1"/>
    <col min="12569" max="12569" width="12" style="45" customWidth="1"/>
    <col min="12570" max="12570" width="8.1640625" style="45" customWidth="1"/>
    <col min="12571" max="12571" width="17" style="45" customWidth="1"/>
    <col min="12572" max="12572" width="2.33203125" style="45" customWidth="1"/>
    <col min="12573" max="12573" width="12" style="45" customWidth="1"/>
    <col min="12574" max="12574" width="8.5" style="45" customWidth="1"/>
    <col min="12575" max="12575" width="16.6640625" style="45" customWidth="1"/>
    <col min="12576" max="12576" width="2.6640625" style="45" customWidth="1"/>
    <col min="12577" max="12577" width="12" style="45" customWidth="1"/>
    <col min="12578" max="12578" width="8.83203125" style="45" customWidth="1"/>
    <col min="12579" max="12579" width="17.6640625" style="45" customWidth="1"/>
    <col min="12580" max="12580" width="2.1640625" style="45" customWidth="1"/>
    <col min="12581" max="12581" width="12" style="45" customWidth="1"/>
    <col min="12582" max="12582" width="3.1640625" style="45" customWidth="1"/>
    <col min="12583" max="12583" width="11.83203125" style="45" customWidth="1"/>
    <col min="12584" max="12584" width="4" style="45" customWidth="1"/>
    <col min="12585" max="12585" width="11.5" style="45" customWidth="1"/>
    <col min="12586" max="12586" width="2.5" style="45" customWidth="1"/>
    <col min="12587" max="12587" width="9.33203125" style="45"/>
    <col min="12588" max="12588" width="2" style="45" customWidth="1"/>
    <col min="12589" max="12589" width="2.6640625" style="45" customWidth="1"/>
    <col min="12590" max="12800" width="9.33203125" style="45"/>
    <col min="12801" max="12802" width="2.5" style="45" customWidth="1"/>
    <col min="12803" max="12803" width="2" style="45" customWidth="1"/>
    <col min="12804" max="12804" width="2.33203125" style="45" customWidth="1"/>
    <col min="12805" max="12805" width="18.6640625" style="45" customWidth="1"/>
    <col min="12806" max="12806" width="19" style="45" customWidth="1"/>
    <col min="12807" max="12807" width="19.33203125" style="45" customWidth="1"/>
    <col min="12808" max="12808" width="19.83203125" style="45" customWidth="1"/>
    <col min="12809" max="12809" width="19.1640625" style="45" customWidth="1"/>
    <col min="12810" max="12810" width="21.5" style="45" customWidth="1"/>
    <col min="12811" max="12811" width="2.1640625" style="45" customWidth="1"/>
    <col min="12812" max="12812" width="10.33203125" style="45" customWidth="1"/>
    <col min="12813" max="12813" width="2.5" style="45" customWidth="1"/>
    <col min="12814" max="12814" width="23.33203125" style="45" customWidth="1"/>
    <col min="12815" max="12815" width="13.83203125" style="45" customWidth="1"/>
    <col min="12816" max="12816" width="19" style="45" customWidth="1"/>
    <col min="12817" max="12818" width="10.33203125" style="45" customWidth="1"/>
    <col min="12819" max="12819" width="5.83203125" style="45" customWidth="1"/>
    <col min="12820" max="12820" width="24.5" style="45" customWidth="1"/>
    <col min="12821" max="12821" width="6.33203125" style="45" customWidth="1"/>
    <col min="12822" max="12822" width="2.6640625" style="45" customWidth="1"/>
    <col min="12823" max="12823" width="16.5" style="45" customWidth="1"/>
    <col min="12824" max="12824" width="2.1640625" style="45" customWidth="1"/>
    <col min="12825" max="12825" width="12" style="45" customWidth="1"/>
    <col min="12826" max="12826" width="8.1640625" style="45" customWidth="1"/>
    <col min="12827" max="12827" width="17" style="45" customWidth="1"/>
    <col min="12828" max="12828" width="2.33203125" style="45" customWidth="1"/>
    <col min="12829" max="12829" width="12" style="45" customWidth="1"/>
    <col min="12830" max="12830" width="8.5" style="45" customWidth="1"/>
    <col min="12831" max="12831" width="16.6640625" style="45" customWidth="1"/>
    <col min="12832" max="12832" width="2.6640625" style="45" customWidth="1"/>
    <col min="12833" max="12833" width="12" style="45" customWidth="1"/>
    <col min="12834" max="12834" width="8.83203125" style="45" customWidth="1"/>
    <col min="12835" max="12835" width="17.6640625" style="45" customWidth="1"/>
    <col min="12836" max="12836" width="2.1640625" style="45" customWidth="1"/>
    <col min="12837" max="12837" width="12" style="45" customWidth="1"/>
    <col min="12838" max="12838" width="3.1640625" style="45" customWidth="1"/>
    <col min="12839" max="12839" width="11.83203125" style="45" customWidth="1"/>
    <col min="12840" max="12840" width="4" style="45" customWidth="1"/>
    <col min="12841" max="12841" width="11.5" style="45" customWidth="1"/>
    <col min="12842" max="12842" width="2.5" style="45" customWidth="1"/>
    <col min="12843" max="12843" width="9.33203125" style="45"/>
    <col min="12844" max="12844" width="2" style="45" customWidth="1"/>
    <col min="12845" max="12845" width="2.6640625" style="45" customWidth="1"/>
    <col min="12846" max="13056" width="9.33203125" style="45"/>
    <col min="13057" max="13058" width="2.5" style="45" customWidth="1"/>
    <col min="13059" max="13059" width="2" style="45" customWidth="1"/>
    <col min="13060" max="13060" width="2.33203125" style="45" customWidth="1"/>
    <col min="13061" max="13061" width="18.6640625" style="45" customWidth="1"/>
    <col min="13062" max="13062" width="19" style="45" customWidth="1"/>
    <col min="13063" max="13063" width="19.33203125" style="45" customWidth="1"/>
    <col min="13064" max="13064" width="19.83203125" style="45" customWidth="1"/>
    <col min="13065" max="13065" width="19.1640625" style="45" customWidth="1"/>
    <col min="13066" max="13066" width="21.5" style="45" customWidth="1"/>
    <col min="13067" max="13067" width="2.1640625" style="45" customWidth="1"/>
    <col min="13068" max="13068" width="10.33203125" style="45" customWidth="1"/>
    <col min="13069" max="13069" width="2.5" style="45" customWidth="1"/>
    <col min="13070" max="13070" width="23.33203125" style="45" customWidth="1"/>
    <col min="13071" max="13071" width="13.83203125" style="45" customWidth="1"/>
    <col min="13072" max="13072" width="19" style="45" customWidth="1"/>
    <col min="13073" max="13074" width="10.33203125" style="45" customWidth="1"/>
    <col min="13075" max="13075" width="5.83203125" style="45" customWidth="1"/>
    <col min="13076" max="13076" width="24.5" style="45" customWidth="1"/>
    <col min="13077" max="13077" width="6.33203125" style="45" customWidth="1"/>
    <col min="13078" max="13078" width="2.6640625" style="45" customWidth="1"/>
    <col min="13079" max="13079" width="16.5" style="45" customWidth="1"/>
    <col min="13080" max="13080" width="2.1640625" style="45" customWidth="1"/>
    <col min="13081" max="13081" width="12" style="45" customWidth="1"/>
    <col min="13082" max="13082" width="8.1640625" style="45" customWidth="1"/>
    <col min="13083" max="13083" width="17" style="45" customWidth="1"/>
    <col min="13084" max="13084" width="2.33203125" style="45" customWidth="1"/>
    <col min="13085" max="13085" width="12" style="45" customWidth="1"/>
    <col min="13086" max="13086" width="8.5" style="45" customWidth="1"/>
    <col min="13087" max="13087" width="16.6640625" style="45" customWidth="1"/>
    <col min="13088" max="13088" width="2.6640625" style="45" customWidth="1"/>
    <col min="13089" max="13089" width="12" style="45" customWidth="1"/>
    <col min="13090" max="13090" width="8.83203125" style="45" customWidth="1"/>
    <col min="13091" max="13091" width="17.6640625" style="45" customWidth="1"/>
    <col min="13092" max="13092" width="2.1640625" style="45" customWidth="1"/>
    <col min="13093" max="13093" width="12" style="45" customWidth="1"/>
    <col min="13094" max="13094" width="3.1640625" style="45" customWidth="1"/>
    <col min="13095" max="13095" width="11.83203125" style="45" customWidth="1"/>
    <col min="13096" max="13096" width="4" style="45" customWidth="1"/>
    <col min="13097" max="13097" width="11.5" style="45" customWidth="1"/>
    <col min="13098" max="13098" width="2.5" style="45" customWidth="1"/>
    <col min="13099" max="13099" width="9.33203125" style="45"/>
    <col min="13100" max="13100" width="2" style="45" customWidth="1"/>
    <col min="13101" max="13101" width="2.6640625" style="45" customWidth="1"/>
    <col min="13102" max="13312" width="9.33203125" style="45"/>
    <col min="13313" max="13314" width="2.5" style="45" customWidth="1"/>
    <col min="13315" max="13315" width="2" style="45" customWidth="1"/>
    <col min="13316" max="13316" width="2.33203125" style="45" customWidth="1"/>
    <col min="13317" max="13317" width="18.6640625" style="45" customWidth="1"/>
    <col min="13318" max="13318" width="19" style="45" customWidth="1"/>
    <col min="13319" max="13319" width="19.33203125" style="45" customWidth="1"/>
    <col min="13320" max="13320" width="19.83203125" style="45" customWidth="1"/>
    <col min="13321" max="13321" width="19.1640625" style="45" customWidth="1"/>
    <col min="13322" max="13322" width="21.5" style="45" customWidth="1"/>
    <col min="13323" max="13323" width="2.1640625" style="45" customWidth="1"/>
    <col min="13324" max="13324" width="10.33203125" style="45" customWidth="1"/>
    <col min="13325" max="13325" width="2.5" style="45" customWidth="1"/>
    <col min="13326" max="13326" width="23.33203125" style="45" customWidth="1"/>
    <col min="13327" max="13327" width="13.83203125" style="45" customWidth="1"/>
    <col min="13328" max="13328" width="19" style="45" customWidth="1"/>
    <col min="13329" max="13330" width="10.33203125" style="45" customWidth="1"/>
    <col min="13331" max="13331" width="5.83203125" style="45" customWidth="1"/>
    <col min="13332" max="13332" width="24.5" style="45" customWidth="1"/>
    <col min="13333" max="13333" width="6.33203125" style="45" customWidth="1"/>
    <col min="13334" max="13334" width="2.6640625" style="45" customWidth="1"/>
    <col min="13335" max="13335" width="16.5" style="45" customWidth="1"/>
    <col min="13336" max="13336" width="2.1640625" style="45" customWidth="1"/>
    <col min="13337" max="13337" width="12" style="45" customWidth="1"/>
    <col min="13338" max="13338" width="8.1640625" style="45" customWidth="1"/>
    <col min="13339" max="13339" width="17" style="45" customWidth="1"/>
    <col min="13340" max="13340" width="2.33203125" style="45" customWidth="1"/>
    <col min="13341" max="13341" width="12" style="45" customWidth="1"/>
    <col min="13342" max="13342" width="8.5" style="45" customWidth="1"/>
    <col min="13343" max="13343" width="16.6640625" style="45" customWidth="1"/>
    <col min="13344" max="13344" width="2.6640625" style="45" customWidth="1"/>
    <col min="13345" max="13345" width="12" style="45" customWidth="1"/>
    <col min="13346" max="13346" width="8.83203125" style="45" customWidth="1"/>
    <col min="13347" max="13347" width="17.6640625" style="45" customWidth="1"/>
    <col min="13348" max="13348" width="2.1640625" style="45" customWidth="1"/>
    <col min="13349" max="13349" width="12" style="45" customWidth="1"/>
    <col min="13350" max="13350" width="3.1640625" style="45" customWidth="1"/>
    <col min="13351" max="13351" width="11.83203125" style="45" customWidth="1"/>
    <col min="13352" max="13352" width="4" style="45" customWidth="1"/>
    <col min="13353" max="13353" width="11.5" style="45" customWidth="1"/>
    <col min="13354" max="13354" width="2.5" style="45" customWidth="1"/>
    <col min="13355" max="13355" width="9.33203125" style="45"/>
    <col min="13356" max="13356" width="2" style="45" customWidth="1"/>
    <col min="13357" max="13357" width="2.6640625" style="45" customWidth="1"/>
    <col min="13358" max="13568" width="9.33203125" style="45"/>
    <col min="13569" max="13570" width="2.5" style="45" customWidth="1"/>
    <col min="13571" max="13571" width="2" style="45" customWidth="1"/>
    <col min="13572" max="13572" width="2.33203125" style="45" customWidth="1"/>
    <col min="13573" max="13573" width="18.6640625" style="45" customWidth="1"/>
    <col min="13574" max="13574" width="19" style="45" customWidth="1"/>
    <col min="13575" max="13575" width="19.33203125" style="45" customWidth="1"/>
    <col min="13576" max="13576" width="19.83203125" style="45" customWidth="1"/>
    <col min="13577" max="13577" width="19.1640625" style="45" customWidth="1"/>
    <col min="13578" max="13578" width="21.5" style="45" customWidth="1"/>
    <col min="13579" max="13579" width="2.1640625" style="45" customWidth="1"/>
    <col min="13580" max="13580" width="10.33203125" style="45" customWidth="1"/>
    <col min="13581" max="13581" width="2.5" style="45" customWidth="1"/>
    <col min="13582" max="13582" width="23.33203125" style="45" customWidth="1"/>
    <col min="13583" max="13583" width="13.83203125" style="45" customWidth="1"/>
    <col min="13584" max="13584" width="19" style="45" customWidth="1"/>
    <col min="13585" max="13586" width="10.33203125" style="45" customWidth="1"/>
    <col min="13587" max="13587" width="5.83203125" style="45" customWidth="1"/>
    <col min="13588" max="13588" width="24.5" style="45" customWidth="1"/>
    <col min="13589" max="13589" width="6.33203125" style="45" customWidth="1"/>
    <col min="13590" max="13590" width="2.6640625" style="45" customWidth="1"/>
    <col min="13591" max="13591" width="16.5" style="45" customWidth="1"/>
    <col min="13592" max="13592" width="2.1640625" style="45" customWidth="1"/>
    <col min="13593" max="13593" width="12" style="45" customWidth="1"/>
    <col min="13594" max="13594" width="8.1640625" style="45" customWidth="1"/>
    <col min="13595" max="13595" width="17" style="45" customWidth="1"/>
    <col min="13596" max="13596" width="2.33203125" style="45" customWidth="1"/>
    <col min="13597" max="13597" width="12" style="45" customWidth="1"/>
    <col min="13598" max="13598" width="8.5" style="45" customWidth="1"/>
    <col min="13599" max="13599" width="16.6640625" style="45" customWidth="1"/>
    <col min="13600" max="13600" width="2.6640625" style="45" customWidth="1"/>
    <col min="13601" max="13601" width="12" style="45" customWidth="1"/>
    <col min="13602" max="13602" width="8.83203125" style="45" customWidth="1"/>
    <col min="13603" max="13603" width="17.6640625" style="45" customWidth="1"/>
    <col min="13604" max="13604" width="2.1640625" style="45" customWidth="1"/>
    <col min="13605" max="13605" width="12" style="45" customWidth="1"/>
    <col min="13606" max="13606" width="3.1640625" style="45" customWidth="1"/>
    <col min="13607" max="13607" width="11.83203125" style="45" customWidth="1"/>
    <col min="13608" max="13608" width="4" style="45" customWidth="1"/>
    <col min="13609" max="13609" width="11.5" style="45" customWidth="1"/>
    <col min="13610" max="13610" width="2.5" style="45" customWidth="1"/>
    <col min="13611" max="13611" width="9.33203125" style="45"/>
    <col min="13612" max="13612" width="2" style="45" customWidth="1"/>
    <col min="13613" max="13613" width="2.6640625" style="45" customWidth="1"/>
    <col min="13614" max="13824" width="9.33203125" style="45"/>
    <col min="13825" max="13826" width="2.5" style="45" customWidth="1"/>
    <col min="13827" max="13827" width="2" style="45" customWidth="1"/>
    <col min="13828" max="13828" width="2.33203125" style="45" customWidth="1"/>
    <col min="13829" max="13829" width="18.6640625" style="45" customWidth="1"/>
    <col min="13830" max="13830" width="19" style="45" customWidth="1"/>
    <col min="13831" max="13831" width="19.33203125" style="45" customWidth="1"/>
    <col min="13832" max="13832" width="19.83203125" style="45" customWidth="1"/>
    <col min="13833" max="13833" width="19.1640625" style="45" customWidth="1"/>
    <col min="13834" max="13834" width="21.5" style="45" customWidth="1"/>
    <col min="13835" max="13835" width="2.1640625" style="45" customWidth="1"/>
    <col min="13836" max="13836" width="10.33203125" style="45" customWidth="1"/>
    <col min="13837" max="13837" width="2.5" style="45" customWidth="1"/>
    <col min="13838" max="13838" width="23.33203125" style="45" customWidth="1"/>
    <col min="13839" max="13839" width="13.83203125" style="45" customWidth="1"/>
    <col min="13840" max="13840" width="19" style="45" customWidth="1"/>
    <col min="13841" max="13842" width="10.33203125" style="45" customWidth="1"/>
    <col min="13843" max="13843" width="5.83203125" style="45" customWidth="1"/>
    <col min="13844" max="13844" width="24.5" style="45" customWidth="1"/>
    <col min="13845" max="13845" width="6.33203125" style="45" customWidth="1"/>
    <col min="13846" max="13846" width="2.6640625" style="45" customWidth="1"/>
    <col min="13847" max="13847" width="16.5" style="45" customWidth="1"/>
    <col min="13848" max="13848" width="2.1640625" style="45" customWidth="1"/>
    <col min="13849" max="13849" width="12" style="45" customWidth="1"/>
    <col min="13850" max="13850" width="8.1640625" style="45" customWidth="1"/>
    <col min="13851" max="13851" width="17" style="45" customWidth="1"/>
    <col min="13852" max="13852" width="2.33203125" style="45" customWidth="1"/>
    <col min="13853" max="13853" width="12" style="45" customWidth="1"/>
    <col min="13854" max="13854" width="8.5" style="45" customWidth="1"/>
    <col min="13855" max="13855" width="16.6640625" style="45" customWidth="1"/>
    <col min="13856" max="13856" width="2.6640625" style="45" customWidth="1"/>
    <col min="13857" max="13857" width="12" style="45" customWidth="1"/>
    <col min="13858" max="13858" width="8.83203125" style="45" customWidth="1"/>
    <col min="13859" max="13859" width="17.6640625" style="45" customWidth="1"/>
    <col min="13860" max="13860" width="2.1640625" style="45" customWidth="1"/>
    <col min="13861" max="13861" width="12" style="45" customWidth="1"/>
    <col min="13862" max="13862" width="3.1640625" style="45" customWidth="1"/>
    <col min="13863" max="13863" width="11.83203125" style="45" customWidth="1"/>
    <col min="13864" max="13864" width="4" style="45" customWidth="1"/>
    <col min="13865" max="13865" width="11.5" style="45" customWidth="1"/>
    <col min="13866" max="13866" width="2.5" style="45" customWidth="1"/>
    <col min="13867" max="13867" width="9.33203125" style="45"/>
    <col min="13868" max="13868" width="2" style="45" customWidth="1"/>
    <col min="13869" max="13869" width="2.6640625" style="45" customWidth="1"/>
    <col min="13870" max="14080" width="9.33203125" style="45"/>
    <col min="14081" max="14082" width="2.5" style="45" customWidth="1"/>
    <col min="14083" max="14083" width="2" style="45" customWidth="1"/>
    <col min="14084" max="14084" width="2.33203125" style="45" customWidth="1"/>
    <col min="14085" max="14085" width="18.6640625" style="45" customWidth="1"/>
    <col min="14086" max="14086" width="19" style="45" customWidth="1"/>
    <col min="14087" max="14087" width="19.33203125" style="45" customWidth="1"/>
    <col min="14088" max="14088" width="19.83203125" style="45" customWidth="1"/>
    <col min="14089" max="14089" width="19.1640625" style="45" customWidth="1"/>
    <col min="14090" max="14090" width="21.5" style="45" customWidth="1"/>
    <col min="14091" max="14091" width="2.1640625" style="45" customWidth="1"/>
    <col min="14092" max="14092" width="10.33203125" style="45" customWidth="1"/>
    <col min="14093" max="14093" width="2.5" style="45" customWidth="1"/>
    <col min="14094" max="14094" width="23.33203125" style="45" customWidth="1"/>
    <col min="14095" max="14095" width="13.83203125" style="45" customWidth="1"/>
    <col min="14096" max="14096" width="19" style="45" customWidth="1"/>
    <col min="14097" max="14098" width="10.33203125" style="45" customWidth="1"/>
    <col min="14099" max="14099" width="5.83203125" style="45" customWidth="1"/>
    <col min="14100" max="14100" width="24.5" style="45" customWidth="1"/>
    <col min="14101" max="14101" width="6.33203125" style="45" customWidth="1"/>
    <col min="14102" max="14102" width="2.6640625" style="45" customWidth="1"/>
    <col min="14103" max="14103" width="16.5" style="45" customWidth="1"/>
    <col min="14104" max="14104" width="2.1640625" style="45" customWidth="1"/>
    <col min="14105" max="14105" width="12" style="45" customWidth="1"/>
    <col min="14106" max="14106" width="8.1640625" style="45" customWidth="1"/>
    <col min="14107" max="14107" width="17" style="45" customWidth="1"/>
    <col min="14108" max="14108" width="2.33203125" style="45" customWidth="1"/>
    <col min="14109" max="14109" width="12" style="45" customWidth="1"/>
    <col min="14110" max="14110" width="8.5" style="45" customWidth="1"/>
    <col min="14111" max="14111" width="16.6640625" style="45" customWidth="1"/>
    <col min="14112" max="14112" width="2.6640625" style="45" customWidth="1"/>
    <col min="14113" max="14113" width="12" style="45" customWidth="1"/>
    <col min="14114" max="14114" width="8.83203125" style="45" customWidth="1"/>
    <col min="14115" max="14115" width="17.6640625" style="45" customWidth="1"/>
    <col min="14116" max="14116" width="2.1640625" style="45" customWidth="1"/>
    <col min="14117" max="14117" width="12" style="45" customWidth="1"/>
    <col min="14118" max="14118" width="3.1640625" style="45" customWidth="1"/>
    <col min="14119" max="14119" width="11.83203125" style="45" customWidth="1"/>
    <col min="14120" max="14120" width="4" style="45" customWidth="1"/>
    <col min="14121" max="14121" width="11.5" style="45" customWidth="1"/>
    <col min="14122" max="14122" width="2.5" style="45" customWidth="1"/>
    <col min="14123" max="14123" width="9.33203125" style="45"/>
    <col min="14124" max="14124" width="2" style="45" customWidth="1"/>
    <col min="14125" max="14125" width="2.6640625" style="45" customWidth="1"/>
    <col min="14126" max="14336" width="9.33203125" style="45"/>
    <col min="14337" max="14338" width="2.5" style="45" customWidth="1"/>
    <col min="14339" max="14339" width="2" style="45" customWidth="1"/>
    <col min="14340" max="14340" width="2.33203125" style="45" customWidth="1"/>
    <col min="14341" max="14341" width="18.6640625" style="45" customWidth="1"/>
    <col min="14342" max="14342" width="19" style="45" customWidth="1"/>
    <col min="14343" max="14343" width="19.33203125" style="45" customWidth="1"/>
    <col min="14344" max="14344" width="19.83203125" style="45" customWidth="1"/>
    <col min="14345" max="14345" width="19.1640625" style="45" customWidth="1"/>
    <col min="14346" max="14346" width="21.5" style="45" customWidth="1"/>
    <col min="14347" max="14347" width="2.1640625" style="45" customWidth="1"/>
    <col min="14348" max="14348" width="10.33203125" style="45" customWidth="1"/>
    <col min="14349" max="14349" width="2.5" style="45" customWidth="1"/>
    <col min="14350" max="14350" width="23.33203125" style="45" customWidth="1"/>
    <col min="14351" max="14351" width="13.83203125" style="45" customWidth="1"/>
    <col min="14352" max="14352" width="19" style="45" customWidth="1"/>
    <col min="14353" max="14354" width="10.33203125" style="45" customWidth="1"/>
    <col min="14355" max="14355" width="5.83203125" style="45" customWidth="1"/>
    <col min="14356" max="14356" width="24.5" style="45" customWidth="1"/>
    <col min="14357" max="14357" width="6.33203125" style="45" customWidth="1"/>
    <col min="14358" max="14358" width="2.6640625" style="45" customWidth="1"/>
    <col min="14359" max="14359" width="16.5" style="45" customWidth="1"/>
    <col min="14360" max="14360" width="2.1640625" style="45" customWidth="1"/>
    <col min="14361" max="14361" width="12" style="45" customWidth="1"/>
    <col min="14362" max="14362" width="8.1640625" style="45" customWidth="1"/>
    <col min="14363" max="14363" width="17" style="45" customWidth="1"/>
    <col min="14364" max="14364" width="2.33203125" style="45" customWidth="1"/>
    <col min="14365" max="14365" width="12" style="45" customWidth="1"/>
    <col min="14366" max="14366" width="8.5" style="45" customWidth="1"/>
    <col min="14367" max="14367" width="16.6640625" style="45" customWidth="1"/>
    <col min="14368" max="14368" width="2.6640625" style="45" customWidth="1"/>
    <col min="14369" max="14369" width="12" style="45" customWidth="1"/>
    <col min="14370" max="14370" width="8.83203125" style="45" customWidth="1"/>
    <col min="14371" max="14371" width="17.6640625" style="45" customWidth="1"/>
    <col min="14372" max="14372" width="2.1640625" style="45" customWidth="1"/>
    <col min="14373" max="14373" width="12" style="45" customWidth="1"/>
    <col min="14374" max="14374" width="3.1640625" style="45" customWidth="1"/>
    <col min="14375" max="14375" width="11.83203125" style="45" customWidth="1"/>
    <col min="14376" max="14376" width="4" style="45" customWidth="1"/>
    <col min="14377" max="14377" width="11.5" style="45" customWidth="1"/>
    <col min="14378" max="14378" width="2.5" style="45" customWidth="1"/>
    <col min="14379" max="14379" width="9.33203125" style="45"/>
    <col min="14380" max="14380" width="2" style="45" customWidth="1"/>
    <col min="14381" max="14381" width="2.6640625" style="45" customWidth="1"/>
    <col min="14382" max="14592" width="9.33203125" style="45"/>
    <col min="14593" max="14594" width="2.5" style="45" customWidth="1"/>
    <col min="14595" max="14595" width="2" style="45" customWidth="1"/>
    <col min="14596" max="14596" width="2.33203125" style="45" customWidth="1"/>
    <col min="14597" max="14597" width="18.6640625" style="45" customWidth="1"/>
    <col min="14598" max="14598" width="19" style="45" customWidth="1"/>
    <col min="14599" max="14599" width="19.33203125" style="45" customWidth="1"/>
    <col min="14600" max="14600" width="19.83203125" style="45" customWidth="1"/>
    <col min="14601" max="14601" width="19.1640625" style="45" customWidth="1"/>
    <col min="14602" max="14602" width="21.5" style="45" customWidth="1"/>
    <col min="14603" max="14603" width="2.1640625" style="45" customWidth="1"/>
    <col min="14604" max="14604" width="10.33203125" style="45" customWidth="1"/>
    <col min="14605" max="14605" width="2.5" style="45" customWidth="1"/>
    <col min="14606" max="14606" width="23.33203125" style="45" customWidth="1"/>
    <col min="14607" max="14607" width="13.83203125" style="45" customWidth="1"/>
    <col min="14608" max="14608" width="19" style="45" customWidth="1"/>
    <col min="14609" max="14610" width="10.33203125" style="45" customWidth="1"/>
    <col min="14611" max="14611" width="5.83203125" style="45" customWidth="1"/>
    <col min="14612" max="14612" width="24.5" style="45" customWidth="1"/>
    <col min="14613" max="14613" width="6.33203125" style="45" customWidth="1"/>
    <col min="14614" max="14614" width="2.6640625" style="45" customWidth="1"/>
    <col min="14615" max="14615" width="16.5" style="45" customWidth="1"/>
    <col min="14616" max="14616" width="2.1640625" style="45" customWidth="1"/>
    <col min="14617" max="14617" width="12" style="45" customWidth="1"/>
    <col min="14618" max="14618" width="8.1640625" style="45" customWidth="1"/>
    <col min="14619" max="14619" width="17" style="45" customWidth="1"/>
    <col min="14620" max="14620" width="2.33203125" style="45" customWidth="1"/>
    <col min="14621" max="14621" width="12" style="45" customWidth="1"/>
    <col min="14622" max="14622" width="8.5" style="45" customWidth="1"/>
    <col min="14623" max="14623" width="16.6640625" style="45" customWidth="1"/>
    <col min="14624" max="14624" width="2.6640625" style="45" customWidth="1"/>
    <col min="14625" max="14625" width="12" style="45" customWidth="1"/>
    <col min="14626" max="14626" width="8.83203125" style="45" customWidth="1"/>
    <col min="14627" max="14627" width="17.6640625" style="45" customWidth="1"/>
    <col min="14628" max="14628" width="2.1640625" style="45" customWidth="1"/>
    <col min="14629" max="14629" width="12" style="45" customWidth="1"/>
    <col min="14630" max="14630" width="3.1640625" style="45" customWidth="1"/>
    <col min="14631" max="14631" width="11.83203125" style="45" customWidth="1"/>
    <col min="14632" max="14632" width="4" style="45" customWidth="1"/>
    <col min="14633" max="14633" width="11.5" style="45" customWidth="1"/>
    <col min="14634" max="14634" width="2.5" style="45" customWidth="1"/>
    <col min="14635" max="14635" width="9.33203125" style="45"/>
    <col min="14636" max="14636" width="2" style="45" customWidth="1"/>
    <col min="14637" max="14637" width="2.6640625" style="45" customWidth="1"/>
    <col min="14638" max="14848" width="9.33203125" style="45"/>
    <col min="14849" max="14850" width="2.5" style="45" customWidth="1"/>
    <col min="14851" max="14851" width="2" style="45" customWidth="1"/>
    <col min="14852" max="14852" width="2.33203125" style="45" customWidth="1"/>
    <col min="14853" max="14853" width="18.6640625" style="45" customWidth="1"/>
    <col min="14854" max="14854" width="19" style="45" customWidth="1"/>
    <col min="14855" max="14855" width="19.33203125" style="45" customWidth="1"/>
    <col min="14856" max="14856" width="19.83203125" style="45" customWidth="1"/>
    <col min="14857" max="14857" width="19.1640625" style="45" customWidth="1"/>
    <col min="14858" max="14858" width="21.5" style="45" customWidth="1"/>
    <col min="14859" max="14859" width="2.1640625" style="45" customWidth="1"/>
    <col min="14860" max="14860" width="10.33203125" style="45" customWidth="1"/>
    <col min="14861" max="14861" width="2.5" style="45" customWidth="1"/>
    <col min="14862" max="14862" width="23.33203125" style="45" customWidth="1"/>
    <col min="14863" max="14863" width="13.83203125" style="45" customWidth="1"/>
    <col min="14864" max="14864" width="19" style="45" customWidth="1"/>
    <col min="14865" max="14866" width="10.33203125" style="45" customWidth="1"/>
    <col min="14867" max="14867" width="5.83203125" style="45" customWidth="1"/>
    <col min="14868" max="14868" width="24.5" style="45" customWidth="1"/>
    <col min="14869" max="14869" width="6.33203125" style="45" customWidth="1"/>
    <col min="14870" max="14870" width="2.6640625" style="45" customWidth="1"/>
    <col min="14871" max="14871" width="16.5" style="45" customWidth="1"/>
    <col min="14872" max="14872" width="2.1640625" style="45" customWidth="1"/>
    <col min="14873" max="14873" width="12" style="45" customWidth="1"/>
    <col min="14874" max="14874" width="8.1640625" style="45" customWidth="1"/>
    <col min="14875" max="14875" width="17" style="45" customWidth="1"/>
    <col min="14876" max="14876" width="2.33203125" style="45" customWidth="1"/>
    <col min="14877" max="14877" width="12" style="45" customWidth="1"/>
    <col min="14878" max="14878" width="8.5" style="45" customWidth="1"/>
    <col min="14879" max="14879" width="16.6640625" style="45" customWidth="1"/>
    <col min="14880" max="14880" width="2.6640625" style="45" customWidth="1"/>
    <col min="14881" max="14881" width="12" style="45" customWidth="1"/>
    <col min="14882" max="14882" width="8.83203125" style="45" customWidth="1"/>
    <col min="14883" max="14883" width="17.6640625" style="45" customWidth="1"/>
    <col min="14884" max="14884" width="2.1640625" style="45" customWidth="1"/>
    <col min="14885" max="14885" width="12" style="45" customWidth="1"/>
    <col min="14886" max="14886" width="3.1640625" style="45" customWidth="1"/>
    <col min="14887" max="14887" width="11.83203125" style="45" customWidth="1"/>
    <col min="14888" max="14888" width="4" style="45" customWidth="1"/>
    <col min="14889" max="14889" width="11.5" style="45" customWidth="1"/>
    <col min="14890" max="14890" width="2.5" style="45" customWidth="1"/>
    <col min="14891" max="14891" width="9.33203125" style="45"/>
    <col min="14892" max="14892" width="2" style="45" customWidth="1"/>
    <col min="14893" max="14893" width="2.6640625" style="45" customWidth="1"/>
    <col min="14894" max="15104" width="9.33203125" style="45"/>
    <col min="15105" max="15106" width="2.5" style="45" customWidth="1"/>
    <col min="15107" max="15107" width="2" style="45" customWidth="1"/>
    <col min="15108" max="15108" width="2.33203125" style="45" customWidth="1"/>
    <col min="15109" max="15109" width="18.6640625" style="45" customWidth="1"/>
    <col min="15110" max="15110" width="19" style="45" customWidth="1"/>
    <col min="15111" max="15111" width="19.33203125" style="45" customWidth="1"/>
    <col min="15112" max="15112" width="19.83203125" style="45" customWidth="1"/>
    <col min="15113" max="15113" width="19.1640625" style="45" customWidth="1"/>
    <col min="15114" max="15114" width="21.5" style="45" customWidth="1"/>
    <col min="15115" max="15115" width="2.1640625" style="45" customWidth="1"/>
    <col min="15116" max="15116" width="10.33203125" style="45" customWidth="1"/>
    <col min="15117" max="15117" width="2.5" style="45" customWidth="1"/>
    <col min="15118" max="15118" width="23.33203125" style="45" customWidth="1"/>
    <col min="15119" max="15119" width="13.83203125" style="45" customWidth="1"/>
    <col min="15120" max="15120" width="19" style="45" customWidth="1"/>
    <col min="15121" max="15122" width="10.33203125" style="45" customWidth="1"/>
    <col min="15123" max="15123" width="5.83203125" style="45" customWidth="1"/>
    <col min="15124" max="15124" width="24.5" style="45" customWidth="1"/>
    <col min="15125" max="15125" width="6.33203125" style="45" customWidth="1"/>
    <col min="15126" max="15126" width="2.6640625" style="45" customWidth="1"/>
    <col min="15127" max="15127" width="16.5" style="45" customWidth="1"/>
    <col min="15128" max="15128" width="2.1640625" style="45" customWidth="1"/>
    <col min="15129" max="15129" width="12" style="45" customWidth="1"/>
    <col min="15130" max="15130" width="8.1640625" style="45" customWidth="1"/>
    <col min="15131" max="15131" width="17" style="45" customWidth="1"/>
    <col min="15132" max="15132" width="2.33203125" style="45" customWidth="1"/>
    <col min="15133" max="15133" width="12" style="45" customWidth="1"/>
    <col min="15134" max="15134" width="8.5" style="45" customWidth="1"/>
    <col min="15135" max="15135" width="16.6640625" style="45" customWidth="1"/>
    <col min="15136" max="15136" width="2.6640625" style="45" customWidth="1"/>
    <col min="15137" max="15137" width="12" style="45" customWidth="1"/>
    <col min="15138" max="15138" width="8.83203125" style="45" customWidth="1"/>
    <col min="15139" max="15139" width="17.6640625" style="45" customWidth="1"/>
    <col min="15140" max="15140" width="2.1640625" style="45" customWidth="1"/>
    <col min="15141" max="15141" width="12" style="45" customWidth="1"/>
    <col min="15142" max="15142" width="3.1640625" style="45" customWidth="1"/>
    <col min="15143" max="15143" width="11.83203125" style="45" customWidth="1"/>
    <col min="15144" max="15144" width="4" style="45" customWidth="1"/>
    <col min="15145" max="15145" width="11.5" style="45" customWidth="1"/>
    <col min="15146" max="15146" width="2.5" style="45" customWidth="1"/>
    <col min="15147" max="15147" width="9.33203125" style="45"/>
    <col min="15148" max="15148" width="2" style="45" customWidth="1"/>
    <col min="15149" max="15149" width="2.6640625" style="45" customWidth="1"/>
    <col min="15150" max="15360" width="9.33203125" style="45"/>
    <col min="15361" max="15362" width="2.5" style="45" customWidth="1"/>
    <col min="15363" max="15363" width="2" style="45" customWidth="1"/>
    <col min="15364" max="15364" width="2.33203125" style="45" customWidth="1"/>
    <col min="15365" max="15365" width="18.6640625" style="45" customWidth="1"/>
    <col min="15366" max="15366" width="19" style="45" customWidth="1"/>
    <col min="15367" max="15367" width="19.33203125" style="45" customWidth="1"/>
    <col min="15368" max="15368" width="19.83203125" style="45" customWidth="1"/>
    <col min="15369" max="15369" width="19.1640625" style="45" customWidth="1"/>
    <col min="15370" max="15370" width="21.5" style="45" customWidth="1"/>
    <col min="15371" max="15371" width="2.1640625" style="45" customWidth="1"/>
    <col min="15372" max="15372" width="10.33203125" style="45" customWidth="1"/>
    <col min="15373" max="15373" width="2.5" style="45" customWidth="1"/>
    <col min="15374" max="15374" width="23.33203125" style="45" customWidth="1"/>
    <col min="15375" max="15375" width="13.83203125" style="45" customWidth="1"/>
    <col min="15376" max="15376" width="19" style="45" customWidth="1"/>
    <col min="15377" max="15378" width="10.33203125" style="45" customWidth="1"/>
    <col min="15379" max="15379" width="5.83203125" style="45" customWidth="1"/>
    <col min="15380" max="15380" width="24.5" style="45" customWidth="1"/>
    <col min="15381" max="15381" width="6.33203125" style="45" customWidth="1"/>
    <col min="15382" max="15382" width="2.6640625" style="45" customWidth="1"/>
    <col min="15383" max="15383" width="16.5" style="45" customWidth="1"/>
    <col min="15384" max="15384" width="2.1640625" style="45" customWidth="1"/>
    <col min="15385" max="15385" width="12" style="45" customWidth="1"/>
    <col min="15386" max="15386" width="8.1640625" style="45" customWidth="1"/>
    <col min="15387" max="15387" width="17" style="45" customWidth="1"/>
    <col min="15388" max="15388" width="2.33203125" style="45" customWidth="1"/>
    <col min="15389" max="15389" width="12" style="45" customWidth="1"/>
    <col min="15390" max="15390" width="8.5" style="45" customWidth="1"/>
    <col min="15391" max="15391" width="16.6640625" style="45" customWidth="1"/>
    <col min="15392" max="15392" width="2.6640625" style="45" customWidth="1"/>
    <col min="15393" max="15393" width="12" style="45" customWidth="1"/>
    <col min="15394" max="15394" width="8.83203125" style="45" customWidth="1"/>
    <col min="15395" max="15395" width="17.6640625" style="45" customWidth="1"/>
    <col min="15396" max="15396" width="2.1640625" style="45" customWidth="1"/>
    <col min="15397" max="15397" width="12" style="45" customWidth="1"/>
    <col min="15398" max="15398" width="3.1640625" style="45" customWidth="1"/>
    <col min="15399" max="15399" width="11.83203125" style="45" customWidth="1"/>
    <col min="15400" max="15400" width="4" style="45" customWidth="1"/>
    <col min="15401" max="15401" width="11.5" style="45" customWidth="1"/>
    <col min="15402" max="15402" width="2.5" style="45" customWidth="1"/>
    <col min="15403" max="15403" width="9.33203125" style="45"/>
    <col min="15404" max="15404" width="2" style="45" customWidth="1"/>
    <col min="15405" max="15405" width="2.6640625" style="45" customWidth="1"/>
    <col min="15406" max="15616" width="9.33203125" style="45"/>
    <col min="15617" max="15618" width="2.5" style="45" customWidth="1"/>
    <col min="15619" max="15619" width="2" style="45" customWidth="1"/>
    <col min="15620" max="15620" width="2.33203125" style="45" customWidth="1"/>
    <col min="15621" max="15621" width="18.6640625" style="45" customWidth="1"/>
    <col min="15622" max="15622" width="19" style="45" customWidth="1"/>
    <col min="15623" max="15623" width="19.33203125" style="45" customWidth="1"/>
    <col min="15624" max="15624" width="19.83203125" style="45" customWidth="1"/>
    <col min="15625" max="15625" width="19.1640625" style="45" customWidth="1"/>
    <col min="15626" max="15626" width="21.5" style="45" customWidth="1"/>
    <col min="15627" max="15627" width="2.1640625" style="45" customWidth="1"/>
    <col min="15628" max="15628" width="10.33203125" style="45" customWidth="1"/>
    <col min="15629" max="15629" width="2.5" style="45" customWidth="1"/>
    <col min="15630" max="15630" width="23.33203125" style="45" customWidth="1"/>
    <col min="15631" max="15631" width="13.83203125" style="45" customWidth="1"/>
    <col min="15632" max="15632" width="19" style="45" customWidth="1"/>
    <col min="15633" max="15634" width="10.33203125" style="45" customWidth="1"/>
    <col min="15635" max="15635" width="5.83203125" style="45" customWidth="1"/>
    <col min="15636" max="15636" width="24.5" style="45" customWidth="1"/>
    <col min="15637" max="15637" width="6.33203125" style="45" customWidth="1"/>
    <col min="15638" max="15638" width="2.6640625" style="45" customWidth="1"/>
    <col min="15639" max="15639" width="16.5" style="45" customWidth="1"/>
    <col min="15640" max="15640" width="2.1640625" style="45" customWidth="1"/>
    <col min="15641" max="15641" width="12" style="45" customWidth="1"/>
    <col min="15642" max="15642" width="8.1640625" style="45" customWidth="1"/>
    <col min="15643" max="15643" width="17" style="45" customWidth="1"/>
    <col min="15644" max="15644" width="2.33203125" style="45" customWidth="1"/>
    <col min="15645" max="15645" width="12" style="45" customWidth="1"/>
    <col min="15646" max="15646" width="8.5" style="45" customWidth="1"/>
    <col min="15647" max="15647" width="16.6640625" style="45" customWidth="1"/>
    <col min="15648" max="15648" width="2.6640625" style="45" customWidth="1"/>
    <col min="15649" max="15649" width="12" style="45" customWidth="1"/>
    <col min="15650" max="15650" width="8.83203125" style="45" customWidth="1"/>
    <col min="15651" max="15651" width="17.6640625" style="45" customWidth="1"/>
    <col min="15652" max="15652" width="2.1640625" style="45" customWidth="1"/>
    <col min="15653" max="15653" width="12" style="45" customWidth="1"/>
    <col min="15654" max="15654" width="3.1640625" style="45" customWidth="1"/>
    <col min="15655" max="15655" width="11.83203125" style="45" customWidth="1"/>
    <col min="15656" max="15656" width="4" style="45" customWidth="1"/>
    <col min="15657" max="15657" width="11.5" style="45" customWidth="1"/>
    <col min="15658" max="15658" width="2.5" style="45" customWidth="1"/>
    <col min="15659" max="15659" width="9.33203125" style="45"/>
    <col min="15660" max="15660" width="2" style="45" customWidth="1"/>
    <col min="15661" max="15661" width="2.6640625" style="45" customWidth="1"/>
    <col min="15662" max="15872" width="9.33203125" style="45"/>
    <col min="15873" max="15874" width="2.5" style="45" customWidth="1"/>
    <col min="15875" max="15875" width="2" style="45" customWidth="1"/>
    <col min="15876" max="15876" width="2.33203125" style="45" customWidth="1"/>
    <col min="15877" max="15877" width="18.6640625" style="45" customWidth="1"/>
    <col min="15878" max="15878" width="19" style="45" customWidth="1"/>
    <col min="15879" max="15879" width="19.33203125" style="45" customWidth="1"/>
    <col min="15880" max="15880" width="19.83203125" style="45" customWidth="1"/>
    <col min="15881" max="15881" width="19.1640625" style="45" customWidth="1"/>
    <col min="15882" max="15882" width="21.5" style="45" customWidth="1"/>
    <col min="15883" max="15883" width="2.1640625" style="45" customWidth="1"/>
    <col min="15884" max="15884" width="10.33203125" style="45" customWidth="1"/>
    <col min="15885" max="15885" width="2.5" style="45" customWidth="1"/>
    <col min="15886" max="15886" width="23.33203125" style="45" customWidth="1"/>
    <col min="15887" max="15887" width="13.83203125" style="45" customWidth="1"/>
    <col min="15888" max="15888" width="19" style="45" customWidth="1"/>
    <col min="15889" max="15890" width="10.33203125" style="45" customWidth="1"/>
    <col min="15891" max="15891" width="5.83203125" style="45" customWidth="1"/>
    <col min="15892" max="15892" width="24.5" style="45" customWidth="1"/>
    <col min="15893" max="15893" width="6.33203125" style="45" customWidth="1"/>
    <col min="15894" max="15894" width="2.6640625" style="45" customWidth="1"/>
    <col min="15895" max="15895" width="16.5" style="45" customWidth="1"/>
    <col min="15896" max="15896" width="2.1640625" style="45" customWidth="1"/>
    <col min="15897" max="15897" width="12" style="45" customWidth="1"/>
    <col min="15898" max="15898" width="8.1640625" style="45" customWidth="1"/>
    <col min="15899" max="15899" width="17" style="45" customWidth="1"/>
    <col min="15900" max="15900" width="2.33203125" style="45" customWidth="1"/>
    <col min="15901" max="15901" width="12" style="45" customWidth="1"/>
    <col min="15902" max="15902" width="8.5" style="45" customWidth="1"/>
    <col min="15903" max="15903" width="16.6640625" style="45" customWidth="1"/>
    <col min="15904" max="15904" width="2.6640625" style="45" customWidth="1"/>
    <col min="15905" max="15905" width="12" style="45" customWidth="1"/>
    <col min="15906" max="15906" width="8.83203125" style="45" customWidth="1"/>
    <col min="15907" max="15907" width="17.6640625" style="45" customWidth="1"/>
    <col min="15908" max="15908" width="2.1640625" style="45" customWidth="1"/>
    <col min="15909" max="15909" width="12" style="45" customWidth="1"/>
    <col min="15910" max="15910" width="3.1640625" style="45" customWidth="1"/>
    <col min="15911" max="15911" width="11.83203125" style="45" customWidth="1"/>
    <col min="15912" max="15912" width="4" style="45" customWidth="1"/>
    <col min="15913" max="15913" width="11.5" style="45" customWidth="1"/>
    <col min="15914" max="15914" width="2.5" style="45" customWidth="1"/>
    <col min="15915" max="15915" width="9.33203125" style="45"/>
    <col min="15916" max="15916" width="2" style="45" customWidth="1"/>
    <col min="15917" max="15917" width="2.6640625" style="45" customWidth="1"/>
    <col min="15918" max="16128" width="9.33203125" style="45"/>
    <col min="16129" max="16130" width="2.5" style="45" customWidth="1"/>
    <col min="16131" max="16131" width="2" style="45" customWidth="1"/>
    <col min="16132" max="16132" width="2.33203125" style="45" customWidth="1"/>
    <col min="16133" max="16133" width="18.6640625" style="45" customWidth="1"/>
    <col min="16134" max="16134" width="19" style="45" customWidth="1"/>
    <col min="16135" max="16135" width="19.33203125" style="45" customWidth="1"/>
    <col min="16136" max="16136" width="19.83203125" style="45" customWidth="1"/>
    <col min="16137" max="16137" width="19.1640625" style="45" customWidth="1"/>
    <col min="16138" max="16138" width="21.5" style="45" customWidth="1"/>
    <col min="16139" max="16139" width="2.1640625" style="45" customWidth="1"/>
    <col min="16140" max="16140" width="10.33203125" style="45" customWidth="1"/>
    <col min="16141" max="16141" width="2.5" style="45" customWidth="1"/>
    <col min="16142" max="16142" width="23.33203125" style="45" customWidth="1"/>
    <col min="16143" max="16143" width="13.83203125" style="45" customWidth="1"/>
    <col min="16144" max="16144" width="19" style="45" customWidth="1"/>
    <col min="16145" max="16146" width="10.33203125" style="45" customWidth="1"/>
    <col min="16147" max="16147" width="5.83203125" style="45" customWidth="1"/>
    <col min="16148" max="16148" width="24.5" style="45" customWidth="1"/>
    <col min="16149" max="16149" width="6.33203125" style="45" customWidth="1"/>
    <col min="16150" max="16150" width="2.6640625" style="45" customWidth="1"/>
    <col min="16151" max="16151" width="16.5" style="45" customWidth="1"/>
    <col min="16152" max="16152" width="2.1640625" style="45" customWidth="1"/>
    <col min="16153" max="16153" width="12" style="45" customWidth="1"/>
    <col min="16154" max="16154" width="8.1640625" style="45" customWidth="1"/>
    <col min="16155" max="16155" width="17" style="45" customWidth="1"/>
    <col min="16156" max="16156" width="2.33203125" style="45" customWidth="1"/>
    <col min="16157" max="16157" width="12" style="45" customWidth="1"/>
    <col min="16158" max="16158" width="8.5" style="45" customWidth="1"/>
    <col min="16159" max="16159" width="16.6640625" style="45" customWidth="1"/>
    <col min="16160" max="16160" width="2.6640625" style="45" customWidth="1"/>
    <col min="16161" max="16161" width="12" style="45" customWidth="1"/>
    <col min="16162" max="16162" width="8.83203125" style="45" customWidth="1"/>
    <col min="16163" max="16163" width="17.6640625" style="45" customWidth="1"/>
    <col min="16164" max="16164" width="2.1640625" style="45" customWidth="1"/>
    <col min="16165" max="16165" width="12" style="45" customWidth="1"/>
    <col min="16166" max="16166" width="3.1640625" style="45" customWidth="1"/>
    <col min="16167" max="16167" width="11.83203125" style="45" customWidth="1"/>
    <col min="16168" max="16168" width="4" style="45" customWidth="1"/>
    <col min="16169" max="16169" width="11.5" style="45" customWidth="1"/>
    <col min="16170" max="16170" width="2.5" style="45" customWidth="1"/>
    <col min="16171" max="16171" width="9.33203125" style="45"/>
    <col min="16172" max="16172" width="2" style="45" customWidth="1"/>
    <col min="16173" max="16173" width="2.6640625" style="45" customWidth="1"/>
    <col min="16174" max="16384" width="9.33203125" style="45"/>
  </cols>
  <sheetData>
    <row r="1" spans="1:123" ht="15.75" x14ac:dyDescent="0.25">
      <c r="A1" s="43"/>
      <c r="B1" s="43"/>
      <c r="C1" s="43"/>
      <c r="D1" s="43"/>
      <c r="E1" s="44" t="s">
        <v>171</v>
      </c>
      <c r="F1" s="44"/>
      <c r="G1" s="44"/>
      <c r="H1" s="44"/>
      <c r="I1" s="44"/>
      <c r="J1" s="44"/>
      <c r="K1" s="44"/>
      <c r="L1" s="44"/>
      <c r="M1" s="44"/>
      <c r="N1" s="44"/>
      <c r="O1" s="44"/>
      <c r="P1" s="44"/>
      <c r="Q1" s="44"/>
      <c r="R1" s="44"/>
      <c r="S1" s="44"/>
      <c r="T1" s="44"/>
      <c r="U1" s="44"/>
      <c r="V1" s="44"/>
      <c r="W1" s="88"/>
      <c r="X1" s="88"/>
      <c r="Y1" s="88"/>
      <c r="Z1" s="88"/>
      <c r="AA1" s="88"/>
      <c r="AB1" s="88"/>
      <c r="AC1" s="88"/>
      <c r="AD1" s="88"/>
      <c r="AE1" s="88"/>
      <c r="AF1" s="88"/>
      <c r="AG1" s="88"/>
      <c r="AH1" s="88"/>
      <c r="AI1" s="88"/>
      <c r="AJ1" s="88"/>
      <c r="AK1" s="88"/>
      <c r="AL1" s="88"/>
      <c r="AM1" s="88"/>
      <c r="AN1" s="88"/>
      <c r="AO1" s="88"/>
      <c r="AP1" s="88"/>
      <c r="AQ1" s="88"/>
      <c r="AR1" s="88"/>
      <c r="AS1" s="88"/>
      <c r="AT1" s="89"/>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row>
    <row r="2" spans="1:123" s="15" customFormat="1" ht="33" customHeight="1" x14ac:dyDescent="0.2">
      <c r="A2" s="102"/>
      <c r="B2" s="102"/>
      <c r="C2" s="102"/>
      <c r="D2" s="102"/>
      <c r="E2" s="703" t="s">
        <v>532</v>
      </c>
      <c r="F2" s="703"/>
      <c r="G2" s="703"/>
      <c r="H2" s="703"/>
      <c r="I2" s="703"/>
      <c r="J2" s="703"/>
      <c r="K2" s="703"/>
      <c r="L2" s="703"/>
      <c r="M2" s="703"/>
      <c r="N2" s="703"/>
      <c r="O2" s="703"/>
      <c r="P2" s="703"/>
      <c r="Q2" s="703"/>
      <c r="R2" s="703"/>
      <c r="S2" s="703"/>
      <c r="T2" s="703"/>
      <c r="U2" s="703"/>
      <c r="V2" s="703"/>
      <c r="W2" s="91"/>
      <c r="X2" s="91"/>
      <c r="Y2" s="91"/>
      <c r="Z2" s="91"/>
      <c r="AA2" s="91"/>
      <c r="AB2" s="91"/>
      <c r="AC2" s="91"/>
      <c r="AD2" s="91"/>
      <c r="AE2" s="91"/>
      <c r="AF2" s="51"/>
      <c r="AG2" s="90"/>
      <c r="AH2" s="106"/>
      <c r="AI2" s="106"/>
      <c r="AJ2" s="106"/>
      <c r="AK2" s="106"/>
      <c r="AL2" s="106"/>
      <c r="AM2" s="106"/>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row>
    <row r="3" spans="1:123" ht="6.6" customHeight="1" x14ac:dyDescent="0.2">
      <c r="A3" s="43"/>
      <c r="B3" s="43"/>
      <c r="C3" s="43"/>
      <c r="D3" s="43"/>
      <c r="E3" s="152"/>
      <c r="F3" s="153"/>
      <c r="G3" s="153"/>
      <c r="H3" s="154"/>
      <c r="I3" s="155"/>
      <c r="J3" s="12"/>
      <c r="K3" s="36"/>
      <c r="L3" s="35"/>
      <c r="M3" s="36"/>
      <c r="N3" s="35"/>
      <c r="O3" s="36"/>
      <c r="P3" s="35"/>
      <c r="Q3" s="36"/>
      <c r="R3" s="36"/>
      <c r="S3" s="36"/>
      <c r="T3" s="36"/>
      <c r="U3" s="36"/>
      <c r="V3" s="12"/>
      <c r="W3" s="36"/>
      <c r="X3" s="12"/>
      <c r="Y3" s="36"/>
      <c r="Z3" s="12"/>
      <c r="AA3" s="36"/>
      <c r="AB3" s="12"/>
      <c r="AC3" s="36"/>
      <c r="AD3" s="12"/>
      <c r="AE3" s="36"/>
      <c r="AF3" s="35"/>
      <c r="AG3" s="36"/>
      <c r="AH3" s="12"/>
      <c r="AI3" s="36"/>
      <c r="AJ3" s="12"/>
      <c r="AK3" s="36"/>
      <c r="AL3" s="12"/>
      <c r="AM3" s="37"/>
      <c r="AN3" s="89"/>
      <c r="AO3" s="89"/>
      <c r="AP3" s="89"/>
      <c r="AQ3" s="89"/>
      <c r="AR3" s="89"/>
      <c r="AS3" s="89"/>
      <c r="AT3" s="89"/>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row>
    <row r="4" spans="1:123" ht="15.75" x14ac:dyDescent="0.25">
      <c r="A4" s="43"/>
      <c r="B4" s="43"/>
      <c r="C4" s="43"/>
      <c r="D4" s="43"/>
      <c r="E4" s="704" t="s">
        <v>295</v>
      </c>
      <c r="F4" s="704"/>
      <c r="G4" s="704"/>
      <c r="H4" s="704"/>
      <c r="I4" s="704"/>
      <c r="J4" s="704"/>
      <c r="K4" s="704"/>
      <c r="L4" s="704"/>
      <c r="M4" s="704"/>
      <c r="N4" s="704"/>
      <c r="O4" s="704"/>
      <c r="P4" s="704"/>
      <c r="Q4" s="704"/>
      <c r="R4" s="704"/>
      <c r="S4" s="704"/>
      <c r="T4" s="704"/>
      <c r="U4" s="704"/>
      <c r="V4" s="704"/>
      <c r="W4" s="88"/>
      <c r="X4" s="88"/>
      <c r="Y4" s="88"/>
      <c r="Z4" s="88"/>
      <c r="AA4" s="88"/>
      <c r="AB4" s="88"/>
      <c r="AC4" s="88"/>
      <c r="AD4" s="88"/>
      <c r="AE4" s="88"/>
      <c r="AF4" s="88"/>
      <c r="AG4" s="88"/>
      <c r="AH4" s="88"/>
      <c r="AI4" s="88"/>
      <c r="AJ4" s="88"/>
      <c r="AK4" s="88"/>
      <c r="AL4" s="88"/>
      <c r="AM4" s="88"/>
      <c r="AN4" s="88"/>
      <c r="AO4" s="88"/>
      <c r="AP4" s="88"/>
      <c r="AQ4" s="88"/>
      <c r="AR4" s="88"/>
      <c r="AS4" s="88"/>
      <c r="AT4" s="89"/>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row>
    <row r="5" spans="1:123" ht="8.4499999999999993" customHeight="1" thickBot="1" x14ac:dyDescent="0.25">
      <c r="A5" s="43"/>
      <c r="B5" s="43"/>
      <c r="C5" s="43"/>
      <c r="D5" s="43"/>
      <c r="E5" s="43"/>
      <c r="F5" s="43"/>
      <c r="G5" s="43"/>
      <c r="H5" s="43"/>
      <c r="I5" s="43"/>
      <c r="J5" s="43"/>
      <c r="K5" s="43"/>
      <c r="L5" s="43"/>
      <c r="M5" s="43"/>
      <c r="N5" s="43"/>
      <c r="O5" s="43"/>
      <c r="P5" s="43"/>
      <c r="Q5" s="43"/>
      <c r="R5" s="43"/>
      <c r="S5" s="43"/>
      <c r="T5" s="43"/>
      <c r="U5" s="43"/>
      <c r="V5" s="43"/>
      <c r="W5" s="89"/>
      <c r="X5" s="89"/>
      <c r="Y5" s="89"/>
      <c r="Z5" s="89"/>
      <c r="AA5" s="89"/>
      <c r="AB5" s="89"/>
      <c r="AC5" s="89"/>
      <c r="AD5" s="89"/>
      <c r="AE5" s="89"/>
      <c r="AF5" s="89"/>
      <c r="AG5" s="89"/>
      <c r="AH5" s="89"/>
      <c r="AI5" s="89"/>
      <c r="AJ5" s="89"/>
      <c r="AK5" s="89"/>
      <c r="AL5" s="89"/>
      <c r="AM5" s="89"/>
      <c r="AN5" s="89"/>
      <c r="AO5" s="89"/>
      <c r="AP5" s="89"/>
      <c r="AQ5" s="89"/>
      <c r="AR5" s="89"/>
      <c r="AS5" s="89"/>
      <c r="AT5" s="89"/>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row>
    <row r="6" spans="1:123" ht="12.75" customHeight="1" x14ac:dyDescent="0.25">
      <c r="A6" s="43"/>
      <c r="B6" s="43"/>
      <c r="C6" s="55"/>
      <c r="D6" s="65"/>
      <c r="E6" s="56"/>
      <c r="F6" s="57"/>
      <c r="G6" s="57"/>
      <c r="H6" s="56"/>
      <c r="I6" s="57"/>
      <c r="J6" s="57"/>
      <c r="K6" s="57"/>
      <c r="L6" s="57"/>
      <c r="M6" s="57"/>
      <c r="N6" s="57"/>
      <c r="O6" s="57"/>
      <c r="P6" s="58"/>
      <c r="Q6" s="57"/>
      <c r="R6" s="57"/>
      <c r="S6" s="57"/>
      <c r="T6" s="57"/>
      <c r="U6" s="57"/>
      <c r="V6" s="59"/>
      <c r="W6" s="52"/>
      <c r="X6" s="52"/>
      <c r="Y6" s="89"/>
      <c r="Z6" s="89"/>
      <c r="AA6" s="89"/>
      <c r="AB6" s="89"/>
      <c r="AC6" s="89"/>
      <c r="AD6" s="89"/>
      <c r="AE6" s="89"/>
      <c r="AF6" s="89"/>
      <c r="AG6" s="89"/>
      <c r="AH6" s="89"/>
      <c r="AI6" s="89"/>
      <c r="AJ6" s="89"/>
      <c r="AK6" s="89"/>
      <c r="AL6" s="89"/>
      <c r="AM6" s="89"/>
      <c r="AN6" s="89"/>
      <c r="AO6" s="89"/>
      <c r="AP6" s="89"/>
      <c r="AQ6" s="89"/>
      <c r="AR6" s="89"/>
      <c r="AS6" s="89"/>
      <c r="AT6" s="89"/>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row>
    <row r="7" spans="1:123" x14ac:dyDescent="0.2">
      <c r="A7" s="43"/>
      <c r="B7" s="43"/>
      <c r="C7" s="60"/>
      <c r="D7" s="67"/>
      <c r="E7" s="68"/>
      <c r="F7" s="69"/>
      <c r="G7" s="69"/>
      <c r="H7" s="69"/>
      <c r="I7" s="69"/>
      <c r="J7" s="69"/>
      <c r="K7" s="69"/>
      <c r="L7" s="69"/>
      <c r="M7" s="69"/>
      <c r="N7" s="69"/>
      <c r="O7" s="69"/>
      <c r="P7" s="69"/>
      <c r="Q7" s="69"/>
      <c r="R7" s="70"/>
      <c r="S7" s="69"/>
      <c r="T7" s="69"/>
      <c r="U7" s="71"/>
      <c r="V7" s="61"/>
      <c r="W7" s="89"/>
      <c r="X7" s="89"/>
      <c r="Y7" s="89"/>
      <c r="Z7" s="89"/>
      <c r="AA7" s="89"/>
      <c r="AB7" s="89"/>
      <c r="AC7" s="89"/>
      <c r="AD7" s="89"/>
      <c r="AE7" s="89"/>
      <c r="AF7" s="89"/>
      <c r="AG7" s="89"/>
      <c r="AH7" s="89"/>
      <c r="AI7" s="89"/>
      <c r="AJ7" s="89"/>
      <c r="AK7" s="89"/>
      <c r="AL7" s="89"/>
      <c r="AM7" s="89"/>
      <c r="AN7" s="89"/>
      <c r="AO7" s="89"/>
      <c r="AP7" s="89"/>
      <c r="AQ7" s="89"/>
      <c r="AR7" s="89"/>
      <c r="AS7" s="89"/>
      <c r="AT7" s="89"/>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row>
    <row r="8" spans="1:123" ht="43.5" customHeight="1" x14ac:dyDescent="0.2">
      <c r="A8" s="43"/>
      <c r="B8" s="43"/>
      <c r="C8" s="60"/>
      <c r="D8" s="72"/>
      <c r="E8" s="48"/>
      <c r="F8" s="82"/>
      <c r="G8" s="83" t="str">
        <f>[1]W1!D8&amp;" (W1,1)"</f>
        <v>Précipitations (W1,1)</v>
      </c>
      <c r="H8" s="83" t="str">
        <f>[1]W1!D9&amp;" (W1,2)"</f>
        <v>Évapotranspiration réelle (W1,2)</v>
      </c>
      <c r="I8" s="82"/>
      <c r="J8" s="82"/>
      <c r="K8" s="82"/>
      <c r="L8" s="82"/>
      <c r="M8" s="82"/>
      <c r="N8" s="82"/>
      <c r="O8" s="82"/>
      <c r="P8" s="82"/>
      <c r="Q8" s="82"/>
      <c r="R8" s="82"/>
      <c r="S8" s="82"/>
      <c r="T8" s="82"/>
      <c r="U8" s="73"/>
      <c r="V8" s="61"/>
      <c r="W8" s="89"/>
      <c r="X8" s="89"/>
      <c r="Y8" s="89"/>
      <c r="Z8" s="89"/>
      <c r="AA8" s="89"/>
      <c r="AB8" s="89"/>
      <c r="AC8" s="89"/>
      <c r="AD8" s="89"/>
      <c r="AE8" s="89"/>
      <c r="AF8" s="89"/>
      <c r="AG8" s="89"/>
      <c r="AH8" s="89"/>
      <c r="AI8" s="89"/>
      <c r="AJ8" s="89"/>
      <c r="AK8" s="89"/>
      <c r="AL8" s="89"/>
      <c r="AM8" s="89"/>
      <c r="AN8" s="89"/>
      <c r="AO8" s="89"/>
      <c r="AP8" s="89"/>
      <c r="AQ8" s="89"/>
      <c r="AR8" s="89"/>
      <c r="AS8" s="89"/>
      <c r="AT8" s="89"/>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row>
    <row r="9" spans="1:123" x14ac:dyDescent="0.2">
      <c r="A9" s="43"/>
      <c r="B9" s="43"/>
      <c r="C9" s="60"/>
      <c r="D9" s="72"/>
      <c r="E9" s="84"/>
      <c r="F9" s="82"/>
      <c r="G9" s="85"/>
      <c r="H9" s="85"/>
      <c r="I9" s="82"/>
      <c r="J9" s="82"/>
      <c r="K9" s="82"/>
      <c r="L9" s="82"/>
      <c r="M9" s="82"/>
      <c r="N9" s="82"/>
      <c r="O9" s="82"/>
      <c r="P9" s="82"/>
      <c r="Q9" s="82"/>
      <c r="R9" s="82"/>
      <c r="S9" s="82"/>
      <c r="T9" s="82"/>
      <c r="U9" s="73"/>
      <c r="V9" s="61"/>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row>
    <row r="10" spans="1:123" s="46" customFormat="1" ht="8.25" customHeight="1" x14ac:dyDescent="0.2">
      <c r="A10" s="43"/>
      <c r="B10" s="43"/>
      <c r="C10" s="60"/>
      <c r="D10" s="72"/>
      <c r="E10" s="48"/>
      <c r="F10" s="85"/>
      <c r="G10" s="85"/>
      <c r="H10" s="85"/>
      <c r="I10" s="82"/>
      <c r="J10" s="82"/>
      <c r="K10" s="82"/>
      <c r="L10" s="82"/>
      <c r="M10" s="82"/>
      <c r="N10" s="82"/>
      <c r="O10" s="82"/>
      <c r="P10" s="82"/>
      <c r="Q10" s="82"/>
      <c r="R10" s="82"/>
      <c r="S10" s="82"/>
      <c r="T10" s="82"/>
      <c r="U10" s="73"/>
      <c r="V10" s="61"/>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row>
    <row r="11" spans="1:123" ht="6" customHeight="1" x14ac:dyDescent="0.2">
      <c r="A11" s="43"/>
      <c r="B11" s="43"/>
      <c r="C11" s="60"/>
      <c r="D11" s="72"/>
      <c r="E11" s="48"/>
      <c r="F11" s="82"/>
      <c r="G11" s="82"/>
      <c r="H11" s="82"/>
      <c r="I11" s="82"/>
      <c r="J11" s="82"/>
      <c r="K11" s="82"/>
      <c r="L11" s="82"/>
      <c r="M11" s="82"/>
      <c r="N11" s="82"/>
      <c r="O11" s="82"/>
      <c r="P11" s="82"/>
      <c r="Q11" s="82"/>
      <c r="R11" s="82"/>
      <c r="S11" s="82"/>
      <c r="T11" s="82"/>
      <c r="U11" s="73"/>
      <c r="V11" s="61"/>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row>
    <row r="12" spans="1:123" ht="24" customHeight="1" x14ac:dyDescent="0.2">
      <c r="A12" s="43"/>
      <c r="B12" s="43"/>
      <c r="C12" s="60"/>
      <c r="D12" s="72"/>
      <c r="E12" s="48"/>
      <c r="F12" s="82"/>
      <c r="G12" s="705" t="str">
        <f>LEFT([1]W1!D10,LEN([1]W1!D10)-7)&amp;" (W1,3)"</f>
        <v>Flux interne  (W1,3)</v>
      </c>
      <c r="H12" s="706"/>
      <c r="I12" s="82"/>
      <c r="K12" s="82"/>
      <c r="L12" s="82"/>
      <c r="M12" s="82"/>
      <c r="N12" s="82"/>
      <c r="O12" s="82"/>
      <c r="P12" s="720" t="s">
        <v>463</v>
      </c>
      <c r="Q12" s="716" t="s">
        <v>469</v>
      </c>
      <c r="R12" s="717"/>
      <c r="S12" s="82"/>
      <c r="T12" s="82"/>
      <c r="U12" s="73"/>
      <c r="V12" s="61"/>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row>
    <row r="13" spans="1:123" s="46" customFormat="1" ht="36" customHeight="1" x14ac:dyDescent="0.2">
      <c r="A13" s="43"/>
      <c r="B13" s="43"/>
      <c r="C13" s="60"/>
      <c r="D13" s="72"/>
      <c r="E13" s="48"/>
      <c r="F13" s="85"/>
      <c r="G13" s="85"/>
      <c r="H13" s="85"/>
      <c r="I13" s="85"/>
      <c r="J13" s="707" t="str">
        <f>[1]W1!D13&amp;" (W1,6)"</f>
        <v>Flux sortant d’eaux de surface et d’eaux souterraines vers les pays voisins (W1,6)</v>
      </c>
      <c r="K13" s="708"/>
      <c r="L13" s="709"/>
      <c r="M13" s="85"/>
      <c r="N13" s="82"/>
      <c r="O13" s="82"/>
      <c r="P13" s="721"/>
      <c r="Q13" s="718"/>
      <c r="R13" s="719"/>
      <c r="S13" s="82"/>
      <c r="T13" s="82"/>
      <c r="U13" s="73"/>
      <c r="V13" s="61"/>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row>
    <row r="14" spans="1:123" ht="46.5" customHeight="1" x14ac:dyDescent="0.2">
      <c r="A14" s="43"/>
      <c r="B14" s="43"/>
      <c r="C14" s="60"/>
      <c r="D14" s="72"/>
      <c r="E14" s="174" t="str">
        <f>[1]W1!D11&amp;" (W1,4)"</f>
        <v>Apport externe d’eaux de surface et d’eaux souterraines des pays voisins (W1,4)</v>
      </c>
      <c r="F14" s="82"/>
      <c r="G14" s="107" t="str">
        <f>LEFT([1]W1!D12,LEN([1]W1!D12)-7)&amp;" (W1,5)"</f>
        <v>Ressources renouvelables en eau douce (W1,5)</v>
      </c>
      <c r="H14" s="82"/>
      <c r="K14" s="82"/>
      <c r="L14" s="82"/>
      <c r="M14" s="82"/>
      <c r="N14" s="82"/>
      <c r="O14" s="82"/>
      <c r="P14" s="82"/>
      <c r="Q14" s="82"/>
      <c r="R14" s="50"/>
      <c r="S14" s="82"/>
      <c r="T14" s="82"/>
      <c r="U14" s="73"/>
      <c r="V14" s="61"/>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row>
    <row r="15" spans="1:123" ht="31.5" customHeight="1" x14ac:dyDescent="0.2">
      <c r="A15" s="43"/>
      <c r="B15" s="43"/>
      <c r="C15" s="60"/>
      <c r="D15" s="72"/>
      <c r="E15" s="48"/>
      <c r="F15" s="82"/>
      <c r="G15" s="82"/>
      <c r="H15" s="82"/>
      <c r="I15" s="82"/>
      <c r="J15" s="707" t="str">
        <f>[1]W1!D16&amp;" (W1,9)"</f>
        <v>Flux sortant d’eaux de surface et d’eaux souterraines vers la mer (W1,9)</v>
      </c>
      <c r="K15" s="708"/>
      <c r="L15" s="709"/>
      <c r="M15" s="82"/>
      <c r="N15" s="82"/>
      <c r="O15" s="82"/>
      <c r="P15" s="82"/>
      <c r="Q15" s="82"/>
      <c r="R15" s="82"/>
      <c r="S15" s="82"/>
      <c r="T15" s="82"/>
      <c r="U15" s="73"/>
      <c r="V15" s="61"/>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row>
    <row r="16" spans="1:123" ht="9.75" customHeight="1" x14ac:dyDescent="0.2">
      <c r="A16" s="43"/>
      <c r="B16" s="43"/>
      <c r="C16" s="60"/>
      <c r="D16" s="72"/>
      <c r="E16" s="48"/>
      <c r="F16" s="82"/>
      <c r="G16" s="82"/>
      <c r="H16" s="82"/>
      <c r="I16" s="82"/>
      <c r="J16" s="82"/>
      <c r="K16" s="82"/>
      <c r="L16" s="82"/>
      <c r="M16" s="82"/>
      <c r="N16" s="82"/>
      <c r="O16" s="82"/>
      <c r="P16" s="82"/>
      <c r="Q16" s="82"/>
      <c r="R16" s="82"/>
      <c r="S16" s="82"/>
      <c r="T16" s="82"/>
      <c r="U16" s="73"/>
      <c r="V16" s="61"/>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row>
    <row r="17" spans="1:102" x14ac:dyDescent="0.2">
      <c r="A17" s="43"/>
      <c r="B17" s="43"/>
      <c r="C17" s="60"/>
      <c r="D17" s="72"/>
      <c r="E17" s="724" t="str">
        <f>[1]W2!D11</f>
        <v>Dont prélevés par :</v>
      </c>
      <c r="F17" s="725"/>
      <c r="G17" s="725"/>
      <c r="H17" s="725"/>
      <c r="I17" s="725"/>
      <c r="J17" s="726"/>
      <c r="K17" s="82"/>
      <c r="L17" s="82"/>
      <c r="M17" s="82"/>
      <c r="N17" s="82"/>
      <c r="O17" s="82"/>
      <c r="P17" s="82"/>
      <c r="Q17" s="82"/>
      <c r="R17" s="82"/>
      <c r="S17" s="82"/>
      <c r="T17" s="82"/>
      <c r="U17" s="73"/>
      <c r="V17" s="61"/>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row>
    <row r="18" spans="1:102" ht="32.450000000000003" customHeight="1" x14ac:dyDescent="0.2">
      <c r="A18" s="43"/>
      <c r="B18" s="43"/>
      <c r="C18" s="60"/>
      <c r="D18" s="72"/>
      <c r="E18" s="82"/>
      <c r="F18" s="82"/>
      <c r="G18" s="82"/>
      <c r="H18" s="82"/>
      <c r="I18" s="82"/>
      <c r="J18" s="82"/>
      <c r="K18" s="82"/>
      <c r="L18" s="82"/>
      <c r="M18" s="82"/>
      <c r="N18" s="82"/>
      <c r="O18" s="82"/>
      <c r="P18" s="82"/>
      <c r="Q18" s="82"/>
      <c r="R18" s="82"/>
      <c r="S18" s="82"/>
      <c r="T18" s="82"/>
      <c r="U18" s="73"/>
      <c r="V18" s="61"/>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row>
    <row r="19" spans="1:102" s="47" customFormat="1" ht="86.25" customHeight="1" x14ac:dyDescent="0.2">
      <c r="A19" s="43"/>
      <c r="B19" s="43"/>
      <c r="C19" s="60"/>
      <c r="D19" s="72"/>
      <c r="E19" s="86" t="str">
        <f>LEFT([1]W2!D12,LEN([1]W2!D12)-8)&amp;"W2,4)"</f>
        <v>Services d’alimentation en eau (division 36 de W2,4)</v>
      </c>
      <c r="F19" s="86" t="str">
        <f>LEFT([1]W2!D13,LEN([1]W2!D13))&amp;"(W2,5)"</f>
        <v>Ménages(W2,5)</v>
      </c>
      <c r="G19" s="86" t="str">
        <f>LEFT([1]W2!D14,LEN([1]W2!D14))&amp;" (W2,6)"</f>
        <v>Agriculture, sylviculture et pêche (divisions 1 à 3 de la CITI) (W2,6)</v>
      </c>
      <c r="H19" s="86" t="str">
        <f>LEFT([1]W2!D15,LEN([1]W2!D15))&amp;" (W2,7)"</f>
        <v>Activités de fabrication (division 10 à 33 de la CITI) (W2,7)</v>
      </c>
      <c r="I19" s="86" t="str">
        <f>LEFT([1]W2!D16,LEN([1]W2!D16))&amp;" (W2,8)"</f>
        <v>Industrie électrique (division 351 de la CITI) (W2,8)</v>
      </c>
      <c r="J19" s="86" t="str">
        <f>LEFT([1]W2!D17,LEN([1]W2!D17))&amp;" (W2,9)"</f>
        <v>Autres activités économiques (W2,9)</v>
      </c>
      <c r="K19" s="48"/>
      <c r="L19" s="48"/>
      <c r="M19" s="48"/>
      <c r="N19" s="48"/>
      <c r="O19" s="48"/>
      <c r="P19" s="35"/>
      <c r="Q19" s="48"/>
      <c r="R19" s="82"/>
      <c r="S19" s="82"/>
      <c r="T19" s="82"/>
      <c r="U19" s="73"/>
      <c r="V19" s="61"/>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row>
    <row r="20" spans="1:102" s="46" customFormat="1" ht="21.75" customHeight="1" x14ac:dyDescent="0.2">
      <c r="A20" s="43"/>
      <c r="B20" s="43"/>
      <c r="C20" s="60"/>
      <c r="D20" s="72"/>
      <c r="E20" s="48"/>
      <c r="F20" s="85"/>
      <c r="G20" s="85"/>
      <c r="H20" s="85"/>
      <c r="I20" s="85"/>
      <c r="J20" s="85"/>
      <c r="K20" s="85"/>
      <c r="L20" s="85"/>
      <c r="M20" s="85"/>
      <c r="N20" s="85"/>
      <c r="O20" s="85"/>
      <c r="P20" s="85"/>
      <c r="Q20" s="85"/>
      <c r="R20" s="82"/>
      <c r="S20" s="82"/>
      <c r="T20" s="82"/>
      <c r="U20" s="73"/>
      <c r="V20" s="61"/>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row>
    <row r="21" spans="1:102" ht="49.5" customHeight="1" x14ac:dyDescent="0.2">
      <c r="A21" s="43"/>
      <c r="B21" s="43"/>
      <c r="C21" s="60"/>
      <c r="D21" s="72"/>
      <c r="E21" s="727" t="str">
        <f>LEFT([1]W2!D10,LEN([1]W2!D10)-7)&amp;" (W2,3)"</f>
        <v>Volume d’eau douce prélevé (W2,3)</v>
      </c>
      <c r="F21" s="728"/>
      <c r="G21" s="728"/>
      <c r="H21" s="728"/>
      <c r="I21" s="728"/>
      <c r="J21" s="729"/>
      <c r="K21" s="82"/>
      <c r="L21" s="82"/>
      <c r="M21" s="82"/>
      <c r="N21" s="35"/>
      <c r="O21" s="82"/>
      <c r="P21" s="82"/>
      <c r="Q21" s="82"/>
      <c r="R21" s="82"/>
      <c r="S21" s="82"/>
      <c r="T21" s="35"/>
      <c r="U21" s="74"/>
      <c r="V21" s="61"/>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row>
    <row r="22" spans="1:102" ht="10.9" customHeight="1" x14ac:dyDescent="0.2">
      <c r="A22" s="43"/>
      <c r="B22" s="43"/>
      <c r="C22" s="60"/>
      <c r="D22" s="72"/>
      <c r="E22" s="35"/>
      <c r="F22" s="35"/>
      <c r="G22" s="35"/>
      <c r="H22" s="35"/>
      <c r="I22" s="35"/>
      <c r="J22" s="35"/>
      <c r="K22" s="82"/>
      <c r="L22" s="82"/>
      <c r="M22" s="82"/>
      <c r="N22" s="35"/>
      <c r="O22" s="82"/>
      <c r="P22" s="82"/>
      <c r="Q22" s="82"/>
      <c r="R22" s="82"/>
      <c r="S22" s="82"/>
      <c r="T22" s="108"/>
      <c r="U22" s="74"/>
      <c r="V22" s="61"/>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row>
    <row r="23" spans="1:102" ht="45" customHeight="1" x14ac:dyDescent="0.2">
      <c r="A23" s="43"/>
      <c r="B23" s="43"/>
      <c r="C23" s="60"/>
      <c r="D23" s="72"/>
      <c r="E23" s="35"/>
      <c r="F23" s="35"/>
      <c r="G23" s="35"/>
      <c r="H23" s="35"/>
      <c r="I23" s="722" t="str">
        <f>[1]W2!D18&amp;" (W2,10)"</f>
        <v>Eau dessalée (W2,10)</v>
      </c>
      <c r="J23" s="723"/>
      <c r="L23" s="82"/>
      <c r="M23" s="82"/>
      <c r="N23" s="35"/>
      <c r="O23" s="82"/>
      <c r="P23" s="82"/>
      <c r="Q23" s="82"/>
      <c r="R23" s="82"/>
      <c r="S23" s="82"/>
      <c r="T23" s="86" t="str">
        <f>[1]W2!D26&amp;" (W2,17)"</f>
        <v>Ménages (W2,17)</v>
      </c>
      <c r="U23" s="74"/>
      <c r="V23" s="61"/>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row>
    <row r="24" spans="1:102" ht="9.75" customHeight="1" x14ac:dyDescent="0.2">
      <c r="A24" s="43"/>
      <c r="B24" s="43"/>
      <c r="C24" s="60"/>
      <c r="D24" s="72"/>
      <c r="E24" s="48"/>
      <c r="F24" s="82"/>
      <c r="G24" s="82"/>
      <c r="H24" s="82"/>
      <c r="I24" s="82"/>
      <c r="J24" s="82"/>
      <c r="K24" s="82"/>
      <c r="L24" s="82"/>
      <c r="M24" s="82"/>
      <c r="N24" s="714" t="str">
        <f>LEFT([1]W2!D22,LEN([1]W2!D22)-17)&amp;" (W2,14)"</f>
        <v>Quantité totale d’eau douce disponible et utilisable (W2,14)</v>
      </c>
      <c r="O24" s="82"/>
      <c r="P24" s="714" t="str">
        <f>LEFT([1]W2!D24,LEN([1]W2!D24)-9)&amp;" (W2,16)"</f>
        <v>Quantité totale d’eau douce utilisée (W2,16)</v>
      </c>
      <c r="Q24" s="82"/>
      <c r="R24" s="82"/>
      <c r="S24" s="82"/>
      <c r="T24" s="82"/>
      <c r="U24" s="73"/>
      <c r="V24" s="61"/>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row>
    <row r="25" spans="1:102" ht="46.5" customHeight="1" x14ac:dyDescent="0.2">
      <c r="A25" s="43"/>
      <c r="B25" s="43"/>
      <c r="C25" s="60"/>
      <c r="D25" s="72"/>
      <c r="E25" s="48"/>
      <c r="F25" s="82"/>
      <c r="G25" s="82"/>
      <c r="H25" s="82"/>
      <c r="I25" s="722" t="str">
        <f>[1]W2!D19&amp;" (W2,11)"</f>
        <v>Eau réutilisée (W2,11)</v>
      </c>
      <c r="J25" s="723"/>
      <c r="K25" s="82"/>
      <c r="L25" s="35"/>
      <c r="M25" s="82"/>
      <c r="N25" s="715"/>
      <c r="O25" s="82"/>
      <c r="P25" s="715"/>
      <c r="Q25" s="712" t="str">
        <f>[1]W2!D25</f>
        <v>Dont utilisés par :</v>
      </c>
      <c r="R25" s="713"/>
      <c r="S25" s="109"/>
      <c r="T25" s="86" t="str">
        <f>[1]W2!D27&amp;" (W2,18)"</f>
        <v>Agriculture, sylviculture et pêche (division 1 à 3 de la CITI) (W2,18)</v>
      </c>
      <c r="U25" s="73"/>
      <c r="V25" s="61"/>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row>
    <row r="26" spans="1:102" ht="8.25" customHeight="1" x14ac:dyDescent="0.2">
      <c r="A26" s="43"/>
      <c r="B26" s="43"/>
      <c r="C26" s="60"/>
      <c r="D26" s="72"/>
      <c r="E26" s="82"/>
      <c r="F26" s="82"/>
      <c r="G26" s="82"/>
      <c r="H26" s="82"/>
      <c r="I26" s="82"/>
      <c r="J26" s="82"/>
      <c r="K26" s="82"/>
      <c r="L26" s="82"/>
      <c r="M26" s="82"/>
      <c r="N26" s="82"/>
      <c r="O26" s="82"/>
      <c r="P26" s="82"/>
      <c r="Q26" s="82"/>
      <c r="R26" s="82"/>
      <c r="S26" s="82"/>
      <c r="T26" s="82"/>
      <c r="U26" s="73"/>
      <c r="V26" s="61"/>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row>
    <row r="27" spans="1:102" ht="43.5" customHeight="1" x14ac:dyDescent="0.2">
      <c r="A27" s="43"/>
      <c r="B27" s="43"/>
      <c r="C27" s="60"/>
      <c r="D27" s="72"/>
      <c r="H27" s="110"/>
      <c r="I27" s="722" t="str">
        <f>[1]W2!D20&amp;" - "&amp;[1]W2!D21&amp;" (= W2,12 - W2,13)"</f>
        <v>Importations d’eau - Exportations d’eau (= W2,12 - W2,13)</v>
      </c>
      <c r="J27" s="723"/>
      <c r="K27" s="82"/>
      <c r="L27" s="82"/>
      <c r="M27" s="82"/>
      <c r="N27" s="35"/>
      <c r="O27" s="82"/>
      <c r="P27" s="82"/>
      <c r="Q27" s="82"/>
      <c r="R27" s="82"/>
      <c r="S27" s="82"/>
      <c r="T27" s="86" t="str">
        <f>[1]W2!D29&amp;" (W2,20)"</f>
        <v xml:space="preserve">   Activités de fabrication  (divisions 10 à 33 de la CITI) (W2,20)</v>
      </c>
      <c r="U27" s="73"/>
      <c r="V27" s="61"/>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row>
    <row r="28" spans="1:102" ht="13.5" customHeight="1" x14ac:dyDescent="0.2">
      <c r="A28" s="43"/>
      <c r="B28" s="43"/>
      <c r="C28" s="60"/>
      <c r="D28" s="72"/>
      <c r="E28" s="87"/>
      <c r="H28" s="87"/>
      <c r="I28" s="82"/>
      <c r="J28" s="82"/>
      <c r="K28" s="82"/>
      <c r="L28" s="82"/>
      <c r="M28" s="82"/>
      <c r="N28" s="82"/>
      <c r="O28" s="710" t="str">
        <f>[1]W2!D23&amp;" (W2,15)"</f>
        <v>Pertes au cours du transport (W2,15)</v>
      </c>
      <c r="P28" s="82"/>
      <c r="Q28" s="82"/>
      <c r="R28" s="82"/>
      <c r="S28" s="82"/>
      <c r="T28" s="82"/>
      <c r="U28" s="73"/>
      <c r="V28" s="61"/>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row>
    <row r="29" spans="1:102" ht="44.25" customHeight="1" x14ac:dyDescent="0.2">
      <c r="A29" s="43"/>
      <c r="B29" s="43"/>
      <c r="C29" s="60"/>
      <c r="D29" s="72"/>
      <c r="E29" s="82"/>
      <c r="F29" s="82"/>
      <c r="G29" s="82"/>
      <c r="H29" s="82"/>
      <c r="I29" s="82"/>
      <c r="J29" s="82"/>
      <c r="K29" s="82"/>
      <c r="L29" s="82"/>
      <c r="M29" s="82"/>
      <c r="N29" s="35"/>
      <c r="O29" s="711"/>
      <c r="Q29" s="35"/>
      <c r="R29" s="82"/>
      <c r="S29" s="82"/>
      <c r="T29" s="86" t="str">
        <f>[1]W2!D30&amp;" (W2,21)"</f>
        <v xml:space="preserve">    Industrie électrique (division 351 de la CITI) (W2,21)</v>
      </c>
      <c r="U29" s="73"/>
      <c r="V29" s="61"/>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row>
    <row r="30" spans="1:102" x14ac:dyDescent="0.2">
      <c r="A30" s="43"/>
      <c r="B30" s="43"/>
      <c r="C30" s="60"/>
      <c r="D30" s="72"/>
      <c r="E30" s="82"/>
      <c r="F30" s="82"/>
      <c r="G30" s="82"/>
      <c r="H30" s="82"/>
      <c r="I30" s="82"/>
      <c r="J30" s="82"/>
      <c r="K30" s="82"/>
      <c r="L30" s="82"/>
      <c r="M30" s="82"/>
      <c r="N30" s="82"/>
      <c r="O30" s="82"/>
      <c r="P30" s="82"/>
      <c r="Q30" s="82"/>
      <c r="R30" s="82"/>
      <c r="S30" s="82"/>
      <c r="T30" s="82"/>
      <c r="U30" s="73"/>
      <c r="V30" s="61"/>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row>
    <row r="31" spans="1:102" ht="33" customHeight="1" x14ac:dyDescent="0.2">
      <c r="A31" s="43"/>
      <c r="B31" s="43"/>
      <c r="C31" s="60"/>
      <c r="D31" s="72"/>
      <c r="E31" s="82"/>
      <c r="F31" s="82"/>
      <c r="G31" s="82"/>
      <c r="H31" s="82"/>
      <c r="I31" s="82"/>
      <c r="J31" s="82"/>
      <c r="K31" s="82"/>
      <c r="L31" s="82"/>
      <c r="M31" s="82"/>
      <c r="N31" s="82"/>
      <c r="O31" s="82"/>
      <c r="P31" s="82"/>
      <c r="Q31" s="82"/>
      <c r="R31" s="82"/>
      <c r="S31" s="82"/>
      <c r="T31" s="86" t="str">
        <f>[1]W2!D31&amp;" (W2,22)"</f>
        <v xml:space="preserve">    Autres activités économiques  (W2,22)</v>
      </c>
      <c r="U31" s="73"/>
      <c r="V31" s="61"/>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row>
    <row r="32" spans="1:102" ht="9" customHeight="1" x14ac:dyDescent="0.2">
      <c r="A32" s="43"/>
      <c r="B32" s="43"/>
      <c r="C32" s="60"/>
      <c r="D32" s="72"/>
      <c r="E32" s="41"/>
      <c r="F32" s="41"/>
      <c r="G32" s="41"/>
      <c r="H32" s="41"/>
      <c r="I32" s="41"/>
      <c r="J32" s="41"/>
      <c r="K32" s="41"/>
      <c r="L32" s="41"/>
      <c r="M32" s="41"/>
      <c r="N32" s="41"/>
      <c r="O32" s="41"/>
      <c r="P32" s="41"/>
      <c r="Q32" s="41"/>
      <c r="R32" s="41"/>
      <c r="S32" s="41"/>
      <c r="T32" s="41"/>
      <c r="U32" s="73"/>
      <c r="V32" s="61"/>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row>
    <row r="33" spans="1:123" ht="3.75" customHeight="1" x14ac:dyDescent="0.2">
      <c r="A33" s="43"/>
      <c r="B33" s="43"/>
      <c r="C33" s="60"/>
      <c r="D33" s="75"/>
      <c r="E33" s="76"/>
      <c r="F33" s="76"/>
      <c r="G33" s="76"/>
      <c r="H33" s="76"/>
      <c r="I33" s="76"/>
      <c r="J33" s="76"/>
      <c r="K33" s="76"/>
      <c r="L33" s="76"/>
      <c r="M33" s="76"/>
      <c r="N33" s="76"/>
      <c r="O33" s="76"/>
      <c r="P33" s="76"/>
      <c r="Q33" s="76"/>
      <c r="R33" s="76"/>
      <c r="S33" s="76"/>
      <c r="T33" s="76"/>
      <c r="U33" s="77"/>
      <c r="V33" s="61"/>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row>
    <row r="34" spans="1:123" ht="13.5" customHeight="1" thickBot="1" x14ac:dyDescent="0.25">
      <c r="A34" s="43"/>
      <c r="B34" s="43"/>
      <c r="C34" s="62"/>
      <c r="D34" s="66"/>
      <c r="E34" s="63"/>
      <c r="F34" s="63"/>
      <c r="G34" s="63"/>
      <c r="H34" s="63"/>
      <c r="I34" s="63"/>
      <c r="J34" s="63"/>
      <c r="K34" s="63"/>
      <c r="L34" s="63"/>
      <c r="M34" s="63"/>
      <c r="N34" s="63"/>
      <c r="O34" s="63"/>
      <c r="P34" s="63"/>
      <c r="Q34" s="63"/>
      <c r="R34" s="63"/>
      <c r="S34" s="63"/>
      <c r="T34" s="63"/>
      <c r="U34" s="63"/>
      <c r="V34" s="64"/>
      <c r="W34" s="41"/>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row>
    <row r="35" spans="1:123" x14ac:dyDescent="0.2">
      <c r="A35" s="43"/>
      <c r="B35" s="43"/>
      <c r="C35" s="43"/>
      <c r="D35" s="43"/>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row>
    <row r="36" spans="1:123" ht="6" customHeight="1" x14ac:dyDescent="0.2">
      <c r="A36" s="43"/>
      <c r="B36" s="43"/>
      <c r="C36" s="43"/>
      <c r="D36" s="43"/>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row>
    <row r="37" spans="1:123" x14ac:dyDescent="0.2">
      <c r="A37" s="43"/>
      <c r="B37" s="43"/>
      <c r="C37" s="43"/>
      <c r="D37" s="43"/>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row>
    <row r="38" spans="1:123" ht="4.5" customHeight="1" x14ac:dyDescent="0.2">
      <c r="A38" s="43"/>
      <c r="B38" s="43"/>
      <c r="C38" s="43"/>
      <c r="D38" s="43"/>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row>
    <row r="39" spans="1:123" x14ac:dyDescent="0.2">
      <c r="A39" s="43"/>
      <c r="B39" s="43"/>
      <c r="C39" s="43"/>
      <c r="D39" s="43"/>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row>
    <row r="40" spans="1:123" ht="5.25" customHeight="1" x14ac:dyDescent="0.2">
      <c r="A40" s="43"/>
      <c r="B40" s="43"/>
      <c r="C40" s="43"/>
      <c r="D40" s="43"/>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row>
    <row r="41" spans="1:123" x14ac:dyDescent="0.2">
      <c r="A41" s="43"/>
      <c r="B41" s="43"/>
      <c r="C41" s="43"/>
      <c r="D41" s="43"/>
      <c r="E41" s="41"/>
      <c r="F41" s="41"/>
      <c r="G41" s="41"/>
      <c r="H41" s="41"/>
      <c r="I41" s="41"/>
      <c r="J41" s="41"/>
      <c r="K41" s="41"/>
      <c r="L41" s="41"/>
      <c r="M41" s="41"/>
      <c r="N41" s="41"/>
      <c r="O41" s="41"/>
      <c r="P41" s="41"/>
      <c r="Q41" s="41"/>
      <c r="R41" s="43"/>
      <c r="S41" s="43"/>
      <c r="T41" s="43"/>
      <c r="U41" s="43"/>
      <c r="V41" s="43"/>
      <c r="W41" s="41"/>
      <c r="X41" s="41"/>
      <c r="Y41" s="41"/>
      <c r="Z41" s="41"/>
      <c r="AA41" s="41"/>
      <c r="AB41" s="41"/>
      <c r="AC41" s="41"/>
      <c r="AD41" s="41"/>
      <c r="AE41" s="41"/>
      <c r="AF41" s="41"/>
      <c r="AG41" s="41"/>
      <c r="AH41" s="41"/>
      <c r="AI41" s="41"/>
      <c r="AJ41" s="41"/>
      <c r="AK41" s="41"/>
      <c r="AL41" s="41"/>
      <c r="AM41" s="41"/>
      <c r="AN41" s="41"/>
      <c r="AO41" s="41"/>
      <c r="AP41" s="41"/>
      <c r="AQ41" s="41"/>
      <c r="AR41" s="41"/>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row>
    <row r="42" spans="1:123" x14ac:dyDescent="0.2">
      <c r="A42" s="43"/>
      <c r="B42" s="43"/>
      <c r="C42" s="43"/>
      <c r="D42" s="43"/>
      <c r="E42" s="41"/>
      <c r="F42" s="41"/>
      <c r="G42" s="41"/>
      <c r="H42" s="41"/>
      <c r="I42" s="41"/>
      <c r="J42" s="41"/>
      <c r="K42" s="41"/>
      <c r="L42" s="41"/>
      <c r="M42" s="41"/>
      <c r="N42" s="41"/>
      <c r="O42" s="41"/>
      <c r="P42" s="41"/>
      <c r="Q42" s="41"/>
      <c r="R42" s="43"/>
      <c r="S42" s="43"/>
      <c r="T42" s="43"/>
      <c r="U42" s="43"/>
      <c r="V42" s="43"/>
      <c r="W42" s="41"/>
      <c r="X42" s="41"/>
      <c r="Y42" s="41"/>
      <c r="Z42" s="41"/>
      <c r="AA42" s="41"/>
      <c r="AB42" s="41"/>
      <c r="AC42" s="41"/>
      <c r="AD42" s="41"/>
      <c r="AE42" s="41"/>
      <c r="AF42" s="41"/>
      <c r="AG42" s="41"/>
      <c r="AH42" s="41"/>
      <c r="AI42" s="41"/>
      <c r="AJ42" s="41"/>
      <c r="AK42" s="41"/>
      <c r="AL42" s="41"/>
      <c r="AM42" s="41"/>
      <c r="AN42" s="41"/>
      <c r="AO42" s="41"/>
      <c r="AP42" s="41"/>
      <c r="AQ42" s="41"/>
      <c r="AR42" s="41"/>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row>
    <row r="43" spans="1:123" x14ac:dyDescent="0.2">
      <c r="A43" s="43"/>
      <c r="B43" s="43"/>
      <c r="C43" s="43"/>
      <c r="D43" s="43"/>
      <c r="E43" s="41"/>
      <c r="F43" s="41"/>
      <c r="G43" s="41"/>
      <c r="H43" s="41"/>
      <c r="I43" s="41"/>
      <c r="J43" s="41"/>
      <c r="K43" s="41"/>
      <c r="L43" s="41"/>
      <c r="M43" s="41"/>
      <c r="N43" s="41"/>
      <c r="O43" s="41"/>
      <c r="P43" s="41"/>
      <c r="Q43" s="41"/>
      <c r="R43" s="43"/>
      <c r="S43" s="43"/>
      <c r="T43" s="43"/>
      <c r="U43" s="43"/>
      <c r="V43" s="43"/>
      <c r="W43" s="41"/>
      <c r="X43" s="41"/>
      <c r="Y43" s="41"/>
      <c r="Z43" s="41"/>
      <c r="AA43" s="41"/>
      <c r="AB43" s="41"/>
      <c r="AC43" s="41"/>
      <c r="AD43" s="41"/>
      <c r="AE43" s="41"/>
      <c r="AF43" s="41"/>
      <c r="AG43" s="41"/>
      <c r="AH43" s="41"/>
      <c r="AI43" s="41"/>
      <c r="AJ43" s="41"/>
      <c r="AK43" s="41"/>
      <c r="AL43" s="41"/>
      <c r="AM43" s="41"/>
      <c r="AN43" s="41"/>
      <c r="AO43" s="41"/>
      <c r="AP43" s="41"/>
      <c r="AQ43" s="41"/>
      <c r="AR43" s="41"/>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row>
    <row r="44" spans="1:123" x14ac:dyDescent="0.2">
      <c r="A44" s="43"/>
      <c r="B44" s="43"/>
      <c r="C44" s="43"/>
      <c r="D44" s="43"/>
      <c r="E44" s="43"/>
      <c r="F44" s="43"/>
      <c r="G44" s="43"/>
      <c r="H44" s="43"/>
      <c r="I44" s="43"/>
      <c r="J44" s="43"/>
      <c r="K44" s="43"/>
      <c r="L44" s="43"/>
      <c r="M44" s="43"/>
      <c r="N44" s="43"/>
      <c r="O44" s="43"/>
      <c r="P44" s="43"/>
      <c r="Q44" s="43"/>
      <c r="R44" s="43"/>
      <c r="S44" s="43"/>
      <c r="T44" s="43"/>
      <c r="U44" s="43"/>
      <c r="V44" s="43"/>
      <c r="W44" s="41"/>
      <c r="X44" s="41"/>
      <c r="Y44" s="41"/>
      <c r="Z44" s="41"/>
      <c r="AA44" s="41"/>
      <c r="AB44" s="41"/>
      <c r="AC44" s="41"/>
      <c r="AD44" s="41"/>
      <c r="AE44" s="41"/>
      <c r="AF44" s="41"/>
      <c r="AG44" s="41"/>
      <c r="AH44" s="41"/>
      <c r="AI44" s="41"/>
      <c r="AJ44" s="41"/>
      <c r="AK44" s="41"/>
      <c r="AL44" s="41"/>
      <c r="AM44" s="41"/>
      <c r="AN44" s="41"/>
      <c r="AO44" s="41"/>
      <c r="AP44" s="41"/>
      <c r="AQ44" s="41"/>
      <c r="AR44" s="41"/>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row>
    <row r="45" spans="1:123" x14ac:dyDescent="0.2">
      <c r="A45" s="43"/>
      <c r="B45" s="43"/>
      <c r="C45" s="43"/>
      <c r="D45" s="43"/>
      <c r="E45" s="43"/>
      <c r="F45" s="43"/>
      <c r="G45" s="43"/>
      <c r="H45" s="43"/>
      <c r="I45" s="43"/>
      <c r="J45" s="43"/>
      <c r="K45" s="43"/>
      <c r="L45" s="43"/>
      <c r="M45" s="43"/>
      <c r="N45" s="43"/>
      <c r="O45" s="43"/>
      <c r="P45" s="43"/>
      <c r="Q45" s="43"/>
      <c r="R45" s="43"/>
      <c r="S45" s="43"/>
      <c r="T45" s="43"/>
      <c r="U45" s="43"/>
      <c r="V45" s="43"/>
      <c r="W45" s="41"/>
      <c r="X45" s="41"/>
      <c r="Y45" s="41"/>
      <c r="Z45" s="41"/>
      <c r="AA45" s="41"/>
      <c r="AB45" s="41"/>
      <c r="AC45" s="41"/>
      <c r="AD45" s="41"/>
      <c r="AE45" s="41"/>
      <c r="AF45" s="41"/>
      <c r="AG45" s="41"/>
      <c r="AH45" s="41"/>
      <c r="AI45" s="41"/>
      <c r="AJ45" s="41"/>
      <c r="AK45" s="41"/>
      <c r="AL45" s="41"/>
      <c r="AM45" s="41"/>
      <c r="AN45" s="41"/>
      <c r="AO45" s="41"/>
      <c r="AP45" s="41"/>
      <c r="AQ45" s="41"/>
      <c r="AR45" s="41"/>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row>
    <row r="46" spans="1:123" x14ac:dyDescent="0.2">
      <c r="A46" s="43"/>
      <c r="B46" s="43"/>
      <c r="C46" s="43"/>
      <c r="D46" s="43"/>
      <c r="E46" s="43"/>
      <c r="F46" s="43"/>
      <c r="G46" s="43"/>
      <c r="H46" s="43"/>
      <c r="I46" s="43"/>
      <c r="J46" s="43"/>
      <c r="K46" s="43"/>
      <c r="L46" s="43"/>
      <c r="M46" s="43"/>
      <c r="N46" s="43"/>
      <c r="O46" s="43"/>
      <c r="P46" s="43"/>
      <c r="Q46" s="43"/>
      <c r="R46" s="43"/>
      <c r="S46" s="43"/>
      <c r="T46" s="43"/>
      <c r="U46" s="43"/>
      <c r="V46" s="43"/>
      <c r="W46" s="41"/>
      <c r="X46" s="41"/>
      <c r="Y46" s="41"/>
      <c r="Z46" s="41"/>
      <c r="AA46" s="41"/>
      <c r="AB46" s="41"/>
      <c r="AC46" s="41"/>
      <c r="AD46" s="41"/>
      <c r="AE46" s="41"/>
      <c r="AF46" s="41"/>
      <c r="AG46" s="41"/>
      <c r="AH46" s="41"/>
      <c r="AI46" s="41"/>
      <c r="AJ46" s="41"/>
      <c r="AK46" s="41"/>
      <c r="AL46" s="41"/>
      <c r="AM46" s="41"/>
      <c r="AN46" s="41"/>
      <c r="AO46" s="41"/>
      <c r="AP46" s="41"/>
      <c r="AQ46" s="41"/>
      <c r="AR46" s="41"/>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row>
    <row r="47" spans="1:123" x14ac:dyDescent="0.2">
      <c r="A47" s="43"/>
      <c r="B47" s="43"/>
      <c r="C47" s="43"/>
      <c r="D47" s="43"/>
      <c r="E47" s="43"/>
      <c r="F47" s="43"/>
      <c r="G47" s="43"/>
      <c r="H47" s="43"/>
      <c r="I47" s="43"/>
      <c r="J47" s="43"/>
      <c r="K47" s="43"/>
      <c r="L47" s="43"/>
      <c r="M47" s="43"/>
      <c r="N47" s="43"/>
      <c r="O47" s="43"/>
      <c r="P47" s="43"/>
      <c r="Q47" s="43"/>
      <c r="R47" s="43"/>
      <c r="S47" s="43"/>
      <c r="T47" s="43"/>
      <c r="U47" s="43"/>
      <c r="V47" s="43"/>
      <c r="W47" s="41"/>
      <c r="X47" s="41"/>
      <c r="Y47" s="41"/>
      <c r="Z47" s="41"/>
      <c r="AA47" s="41"/>
      <c r="AB47" s="41"/>
      <c r="AC47" s="41"/>
      <c r="AD47" s="41"/>
      <c r="AE47" s="41"/>
      <c r="AF47" s="41"/>
      <c r="AG47" s="41"/>
      <c r="AH47" s="41"/>
      <c r="AI47" s="41"/>
      <c r="AJ47" s="41"/>
      <c r="AK47" s="41"/>
      <c r="AL47" s="41"/>
      <c r="AM47" s="41"/>
      <c r="AN47" s="41"/>
      <c r="AO47" s="41"/>
      <c r="AP47" s="41"/>
      <c r="AQ47" s="41"/>
      <c r="AR47" s="41"/>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row>
    <row r="48" spans="1:123" x14ac:dyDescent="0.2">
      <c r="A48" s="43"/>
      <c r="B48" s="43"/>
      <c r="C48" s="43"/>
      <c r="D48" s="43"/>
      <c r="E48" s="43"/>
      <c r="F48" s="43"/>
      <c r="G48" s="43"/>
      <c r="H48" s="43"/>
      <c r="I48" s="43"/>
      <c r="J48" s="43"/>
      <c r="K48" s="43"/>
      <c r="L48" s="43"/>
      <c r="M48" s="43"/>
      <c r="N48" s="43"/>
      <c r="O48" s="43"/>
      <c r="P48" s="43"/>
      <c r="Q48" s="43"/>
      <c r="R48" s="43"/>
      <c r="S48" s="43"/>
      <c r="T48" s="43"/>
      <c r="U48" s="43"/>
      <c r="V48" s="43"/>
      <c r="W48" s="41"/>
      <c r="X48" s="41"/>
      <c r="Y48" s="41"/>
      <c r="Z48" s="41"/>
      <c r="AA48" s="41"/>
      <c r="AB48" s="41"/>
      <c r="AC48" s="41"/>
      <c r="AD48" s="41"/>
      <c r="AE48" s="41"/>
      <c r="AF48" s="41"/>
      <c r="AG48" s="41"/>
      <c r="AH48" s="41"/>
      <c r="AI48" s="41"/>
      <c r="AJ48" s="41"/>
      <c r="AK48" s="41"/>
      <c r="AL48" s="41"/>
      <c r="AM48" s="41"/>
      <c r="AN48" s="41"/>
      <c r="AO48" s="41"/>
      <c r="AP48" s="41"/>
      <c r="AQ48" s="41"/>
      <c r="AR48" s="41"/>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row>
    <row r="49" spans="1:123" x14ac:dyDescent="0.2">
      <c r="A49" s="43"/>
      <c r="B49" s="43"/>
      <c r="C49" s="43"/>
      <c r="D49" s="43"/>
      <c r="E49" s="43"/>
      <c r="F49" s="43"/>
      <c r="G49" s="43"/>
      <c r="H49" s="43"/>
      <c r="I49" s="43"/>
      <c r="J49" s="43"/>
      <c r="K49" s="43"/>
      <c r="L49" s="43"/>
      <c r="M49" s="43"/>
      <c r="N49" s="43"/>
      <c r="O49" s="43"/>
      <c r="P49" s="43"/>
      <c r="Q49" s="43"/>
      <c r="R49" s="43"/>
      <c r="S49" s="43"/>
      <c r="T49" s="43"/>
      <c r="U49" s="43"/>
      <c r="V49" s="43"/>
      <c r="W49" s="43"/>
      <c r="X49" s="41"/>
      <c r="Y49" s="41"/>
      <c r="Z49" s="41"/>
      <c r="AA49" s="41"/>
      <c r="AB49" s="41"/>
      <c r="AC49" s="41"/>
      <c r="AD49" s="41"/>
      <c r="AE49" s="41"/>
      <c r="AF49" s="41"/>
      <c r="AG49" s="41"/>
      <c r="AH49" s="41"/>
      <c r="AI49" s="41"/>
      <c r="AJ49" s="41"/>
      <c r="AK49" s="41"/>
      <c r="AL49" s="41"/>
      <c r="AM49" s="41"/>
      <c r="AN49" s="41"/>
      <c r="AO49" s="41"/>
      <c r="AP49" s="41"/>
      <c r="AQ49" s="41"/>
      <c r="AR49" s="41"/>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row>
    <row r="50" spans="1:123"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row>
    <row r="51" spans="1:123"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row>
    <row r="52" spans="1:123"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row>
    <row r="53" spans="1:123"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row>
    <row r="54" spans="1:123"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row>
    <row r="55" spans="1:123"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row>
    <row r="56" spans="1:123"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row>
    <row r="57" spans="1:123"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row>
    <row r="58" spans="1:123"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row>
    <row r="59" spans="1:123"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row>
    <row r="60" spans="1:123"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row>
    <row r="61" spans="1:123"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row>
    <row r="62" spans="1:123"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row>
    <row r="63" spans="1:123"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row>
    <row r="64" spans="1:123"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row>
    <row r="65" spans="1:123"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row>
    <row r="66" spans="1:123"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row>
    <row r="67" spans="1:123"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row>
    <row r="68" spans="1:123" x14ac:dyDescent="0.2">
      <c r="A68" s="43"/>
      <c r="B68" s="43"/>
      <c r="C68" s="43"/>
      <c r="D68" s="43"/>
      <c r="E68" s="43"/>
      <c r="F68" s="43"/>
      <c r="G68" s="43"/>
      <c r="H68" s="43"/>
      <c r="I68" s="43"/>
      <c r="J68" s="43"/>
      <c r="K68" s="43"/>
      <c r="L68" s="43"/>
      <c r="M68" s="43"/>
      <c r="N68" s="43"/>
      <c r="O68" s="43"/>
      <c r="P68" s="43"/>
      <c r="Q68" s="43"/>
      <c r="R68" s="43"/>
      <c r="S68" s="43"/>
      <c r="T68" s="43"/>
      <c r="U68" s="43"/>
      <c r="V68" s="43"/>
      <c r="X68" s="43"/>
      <c r="Y68" s="43"/>
      <c r="Z68" s="43"/>
      <c r="AA68" s="43"/>
      <c r="AB68" s="43"/>
      <c r="AC68" s="43"/>
      <c r="AD68" s="43"/>
      <c r="AE68" s="43"/>
      <c r="AF68" s="43"/>
      <c r="AG68" s="43"/>
      <c r="AH68" s="43"/>
      <c r="AI68" s="43"/>
      <c r="AJ68" s="43"/>
      <c r="AK68" s="43"/>
      <c r="AL68" s="43"/>
      <c r="AM68" s="43"/>
      <c r="AN68" s="43"/>
      <c r="AO68" s="43"/>
      <c r="AP68" s="43"/>
      <c r="AQ68" s="43"/>
      <c r="AR68" s="43"/>
    </row>
  </sheetData>
  <sheetProtection sheet="1"/>
  <mergeCells count="16">
    <mergeCell ref="Q25:R25"/>
    <mergeCell ref="I27:J27"/>
    <mergeCell ref="O28:O29"/>
    <mergeCell ref="J15:L15"/>
    <mergeCell ref="E17:J17"/>
    <mergeCell ref="E21:J21"/>
    <mergeCell ref="I23:J23"/>
    <mergeCell ref="N24:N25"/>
    <mergeCell ref="P24:P25"/>
    <mergeCell ref="I25:J25"/>
    <mergeCell ref="E2:V2"/>
    <mergeCell ref="E4:V4"/>
    <mergeCell ref="G12:H12"/>
    <mergeCell ref="P12:P13"/>
    <mergeCell ref="Q12:R13"/>
    <mergeCell ref="J13:L13"/>
  </mergeCells>
  <printOptions horizontalCentered="1"/>
  <pageMargins left="0.25" right="0.25" top="0.65" bottom="0.984251969" header="0.43" footer="0.5"/>
  <pageSetup paperSize="9" scale="50" orientation="landscape" r:id="rId1"/>
  <headerFooter alignWithMargins="0">
    <oddFooter>&amp;C&amp;"Arial,Normal"&amp;8Questionnaire UNSD/PNUE 2013 sur les Statistiques de l'environnement - Section d'eau - p.&amp;P</oddFooter>
  </headerFooter>
  <colBreaks count="1" manualBreakCount="1">
    <brk id="22" max="4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D211"/>
  <sheetViews>
    <sheetView showGridLines="0" topLeftCell="C1" zoomScale="85" zoomScaleNormal="85" zoomScaleSheetLayoutView="100" workbookViewId="0">
      <selection activeCell="C1" sqref="C1"/>
    </sheetView>
  </sheetViews>
  <sheetFormatPr defaultColWidth="9.33203125" defaultRowHeight="12.75" x14ac:dyDescent="0.2"/>
  <cols>
    <col min="1" max="1" width="4.6640625" style="175" hidden="1" customWidth="1"/>
    <col min="2" max="2" width="4.1640625" style="176" hidden="1" customWidth="1"/>
    <col min="3" max="3" width="7.83203125" style="189" customWidth="1"/>
    <col min="4" max="4" width="37" style="261" customWidth="1"/>
    <col min="5" max="5" width="10.1640625" style="262" customWidth="1"/>
    <col min="6" max="6" width="9.6640625" style="189" customWidth="1"/>
    <col min="7" max="7" width="1.83203125" style="263" customWidth="1"/>
    <col min="8" max="8" width="7" style="264" customWidth="1"/>
    <col min="9" max="9" width="1.83203125" style="265" customWidth="1"/>
    <col min="10" max="10" width="7" style="264" hidden="1" customWidth="1"/>
    <col min="11" max="11" width="1.83203125" style="265" hidden="1" customWidth="1"/>
    <col min="12" max="12" width="7.1640625" style="265" hidden="1" customWidth="1"/>
    <col min="13" max="13" width="1.83203125" style="265" hidden="1" customWidth="1"/>
    <col min="14" max="14" width="7.1640625" style="265" hidden="1" customWidth="1"/>
    <col min="15" max="15" width="1.83203125" style="265" hidden="1" customWidth="1"/>
    <col min="16" max="16" width="7.1640625" style="265" hidden="1" customWidth="1"/>
    <col min="17" max="17" width="1.83203125" style="265" hidden="1" customWidth="1"/>
    <col min="18" max="18" width="7" style="264" hidden="1" customWidth="1"/>
    <col min="19" max="19" width="1.83203125" style="265" hidden="1" customWidth="1"/>
    <col min="20" max="20" width="7" style="264" hidden="1" customWidth="1"/>
    <col min="21" max="21" width="1.83203125" style="265" hidden="1" customWidth="1"/>
    <col min="22" max="22" width="7" style="264" hidden="1" customWidth="1"/>
    <col min="23" max="23" width="1.83203125" style="263" hidden="1" customWidth="1"/>
    <col min="24" max="24" width="7" style="264" hidden="1" customWidth="1"/>
    <col min="25" max="25" width="1.83203125" style="263" hidden="1" customWidth="1"/>
    <col min="26" max="26" width="7" style="264" hidden="1" customWidth="1"/>
    <col min="27" max="27" width="1.83203125" style="263" hidden="1" customWidth="1"/>
    <col min="28" max="28" width="7" style="264" customWidth="1"/>
    <col min="29" max="29" width="1.83203125" style="263" customWidth="1"/>
    <col min="30" max="30" width="7" style="264" customWidth="1"/>
    <col min="31" max="31" width="1.83203125" style="263" customWidth="1"/>
    <col min="32" max="32" width="7" style="264" customWidth="1"/>
    <col min="33" max="33" width="1.83203125" style="263" customWidth="1"/>
    <col min="34" max="34" width="7" style="264" customWidth="1"/>
    <col min="35" max="35" width="1.83203125" style="265" customWidth="1"/>
    <col min="36" max="36" width="7" style="264" customWidth="1"/>
    <col min="37" max="37" width="1.83203125" style="263" customWidth="1"/>
    <col min="38" max="38" width="7" style="264" customWidth="1"/>
    <col min="39" max="39" width="1.83203125" style="263" customWidth="1"/>
    <col min="40" max="40" width="7" style="264" customWidth="1"/>
    <col min="41" max="41" width="1.83203125" style="263" customWidth="1"/>
    <col min="42" max="42" width="7" style="263" customWidth="1"/>
    <col min="43" max="43" width="1.83203125" style="263" customWidth="1"/>
    <col min="44" max="44" width="7" style="263" customWidth="1"/>
    <col min="45" max="45" width="1.83203125" style="263" customWidth="1"/>
    <col min="46" max="46" width="7" style="264" customWidth="1"/>
    <col min="47" max="47" width="1.83203125" style="189" customWidth="1"/>
    <col min="48" max="48" width="7" style="189" customWidth="1"/>
    <col min="49" max="49" width="1.83203125" style="189" customWidth="1"/>
    <col min="50" max="50" width="7.33203125" style="189" customWidth="1"/>
    <col min="51" max="51" width="1.83203125" style="189" customWidth="1"/>
    <col min="52" max="52" width="6.5" style="186" customWidth="1"/>
    <col min="53" max="53" width="2" style="187" customWidth="1"/>
    <col min="54" max="54" width="6.83203125" style="187" customWidth="1"/>
    <col min="55" max="55" width="34.6640625" style="187" customWidth="1"/>
    <col min="56" max="56" width="9.33203125" style="187"/>
    <col min="57" max="57" width="11.33203125" style="187" customWidth="1"/>
    <col min="58" max="59" width="5.5" style="187" customWidth="1"/>
    <col min="60" max="60" width="1.1640625" style="187" customWidth="1"/>
    <col min="61" max="61" width="5.5" style="187" customWidth="1"/>
    <col min="62" max="62" width="1.1640625" style="187" customWidth="1"/>
    <col min="63" max="63" width="5.5" style="187" customWidth="1"/>
    <col min="64" max="64" width="1.1640625" style="187" customWidth="1"/>
    <col min="65" max="65" width="5.5" style="187" customWidth="1"/>
    <col min="66" max="66" width="1.1640625" style="187" customWidth="1"/>
    <col min="67" max="67" width="5.5" style="187" customWidth="1"/>
    <col min="68" max="68" width="1.1640625" style="187" customWidth="1"/>
    <col min="69" max="69" width="5.5" style="187" customWidth="1"/>
    <col min="70" max="70" width="1.1640625" style="187" customWidth="1"/>
    <col min="71" max="71" width="5.5" style="187" customWidth="1"/>
    <col min="72" max="72" width="1.1640625" style="187" customWidth="1"/>
    <col min="73" max="73" width="5.5" style="187" customWidth="1"/>
    <col min="74" max="74" width="1.1640625" style="187" customWidth="1"/>
    <col min="75" max="75" width="5.5" style="187" customWidth="1"/>
    <col min="76" max="76" width="1.1640625" style="187" customWidth="1"/>
    <col min="77" max="77" width="5.5" style="187" customWidth="1"/>
    <col min="78" max="78" width="1.1640625" style="187" customWidth="1"/>
    <col min="79" max="79" width="5.5" style="187" customWidth="1"/>
    <col min="80" max="80" width="1.1640625" style="187" customWidth="1"/>
    <col min="81" max="81" width="5.5" style="187" customWidth="1"/>
    <col min="82" max="82" width="1.1640625" style="187" customWidth="1"/>
    <col min="83" max="83" width="5.5" style="187" customWidth="1"/>
    <col min="84" max="84" width="1.1640625" style="187" customWidth="1"/>
    <col min="85" max="85" width="5.5" style="187" customWidth="1"/>
    <col min="86" max="86" width="1.1640625" style="187" customWidth="1"/>
    <col min="87" max="87" width="5.5" style="187" customWidth="1"/>
    <col min="88" max="88" width="1.1640625" style="187" customWidth="1"/>
    <col min="89" max="89" width="5.5" style="187" customWidth="1"/>
    <col min="90" max="90" width="1.1640625" style="187" customWidth="1"/>
    <col min="91" max="91" width="5.5" style="187" customWidth="1"/>
    <col min="92" max="92" width="1.1640625" style="187" customWidth="1"/>
    <col min="93" max="93" width="5.5" style="187" customWidth="1"/>
    <col min="94" max="94" width="1.1640625" style="187" customWidth="1"/>
    <col min="95" max="95" width="5.5" style="187" customWidth="1"/>
    <col min="96" max="96" width="1.1640625" style="187" customWidth="1"/>
    <col min="97" max="97" width="5.5" style="187" customWidth="1"/>
    <col min="98" max="98" width="1.1640625" style="187" customWidth="1"/>
    <col min="99" max="99" width="5.5" style="187" customWidth="1"/>
    <col min="100" max="100" width="3.5" style="189" customWidth="1"/>
    <col min="101" max="101" width="9.6640625" style="187" bestFit="1" customWidth="1"/>
    <col min="102" max="102" width="21.6640625" style="187" customWidth="1"/>
    <col min="103" max="103" width="17.33203125" style="187" bestFit="1" customWidth="1"/>
    <col min="104" max="104" width="16.33203125" style="187" bestFit="1" customWidth="1"/>
    <col min="105" max="105" width="15.83203125" style="187" bestFit="1" customWidth="1"/>
    <col min="106" max="106" width="16.33203125" style="187" bestFit="1" customWidth="1"/>
    <col min="107" max="16384" width="9.33203125" style="189"/>
  </cols>
  <sheetData>
    <row r="1" spans="1:106" ht="15.75" customHeight="1" x14ac:dyDescent="0.25">
      <c r="B1" s="176">
        <v>0</v>
      </c>
      <c r="C1" s="177" t="s">
        <v>609</v>
      </c>
      <c r="D1" s="178"/>
      <c r="E1" s="179"/>
      <c r="F1" s="180"/>
      <c r="G1" s="181"/>
      <c r="H1" s="182"/>
      <c r="I1" s="183"/>
      <c r="J1" s="182"/>
      <c r="K1" s="183"/>
      <c r="L1" s="183"/>
      <c r="M1" s="183"/>
      <c r="N1" s="183"/>
      <c r="O1" s="183"/>
      <c r="P1" s="183"/>
      <c r="Q1" s="183"/>
      <c r="R1" s="182"/>
      <c r="S1" s="183"/>
      <c r="T1" s="182"/>
      <c r="U1" s="183"/>
      <c r="V1" s="182"/>
      <c r="W1" s="181"/>
      <c r="X1" s="182"/>
      <c r="Y1" s="181"/>
      <c r="Z1" s="182"/>
      <c r="AA1" s="181"/>
      <c r="AB1" s="182"/>
      <c r="AC1" s="181"/>
      <c r="AD1" s="182"/>
      <c r="AE1" s="181"/>
      <c r="AF1" s="182"/>
      <c r="AG1" s="181"/>
      <c r="AH1" s="182"/>
      <c r="AI1" s="183"/>
      <c r="AJ1" s="182"/>
      <c r="AK1" s="181"/>
      <c r="AL1" s="182"/>
      <c r="AM1" s="181"/>
      <c r="AN1" s="182"/>
      <c r="AO1" s="181"/>
      <c r="AP1" s="181"/>
      <c r="AQ1" s="181"/>
      <c r="AR1" s="181"/>
      <c r="AS1" s="181"/>
      <c r="AT1" s="182"/>
      <c r="AU1" s="184"/>
      <c r="AV1" s="185"/>
      <c r="AW1" s="185"/>
      <c r="AX1" s="185"/>
      <c r="AY1" s="185"/>
      <c r="BB1" s="188" t="s">
        <v>470</v>
      </c>
    </row>
    <row r="2" spans="1:106" ht="6.75" customHeight="1" x14ac:dyDescent="0.25">
      <c r="C2" s="190"/>
      <c r="D2" s="191"/>
      <c r="E2" s="192"/>
      <c r="F2" s="193"/>
      <c r="G2" s="194"/>
      <c r="H2" s="195"/>
      <c r="I2" s="196"/>
      <c r="J2" s="195"/>
      <c r="K2" s="196"/>
      <c r="L2" s="196"/>
      <c r="M2" s="196"/>
      <c r="N2" s="196"/>
      <c r="O2" s="196"/>
      <c r="P2" s="196"/>
      <c r="Q2" s="196"/>
      <c r="R2" s="195"/>
      <c r="S2" s="196"/>
      <c r="T2" s="195"/>
      <c r="U2" s="196"/>
      <c r="V2" s="195"/>
      <c r="W2" s="194"/>
      <c r="X2" s="195"/>
      <c r="Y2" s="194"/>
      <c r="Z2" s="195"/>
      <c r="AA2" s="194"/>
      <c r="AB2" s="195"/>
      <c r="AC2" s="194"/>
      <c r="AD2" s="195"/>
      <c r="AE2" s="194"/>
      <c r="AF2" s="195"/>
      <c r="AG2" s="194"/>
      <c r="AH2" s="195"/>
      <c r="AI2" s="196"/>
      <c r="AJ2" s="195"/>
      <c r="AK2" s="194"/>
      <c r="AL2" s="195"/>
      <c r="AM2" s="194"/>
      <c r="AN2" s="195"/>
      <c r="AO2" s="194"/>
      <c r="AP2" s="194"/>
      <c r="AQ2" s="194"/>
      <c r="AR2" s="194"/>
      <c r="AS2" s="194"/>
      <c r="AT2" s="195"/>
      <c r="AU2" s="197"/>
      <c r="AV2" s="186"/>
      <c r="AW2" s="186"/>
      <c r="AX2" s="186"/>
      <c r="AY2" s="186"/>
    </row>
    <row r="3" spans="1:106" ht="16.5" customHeight="1" x14ac:dyDescent="0.25">
      <c r="B3" s="176">
        <v>504</v>
      </c>
      <c r="C3" s="198" t="s">
        <v>296</v>
      </c>
      <c r="D3" s="576" t="s">
        <v>102</v>
      </c>
      <c r="E3" s="314"/>
      <c r="F3" s="315"/>
      <c r="G3" s="316"/>
      <c r="H3" s="317"/>
      <c r="I3" s="318"/>
      <c r="J3" s="317"/>
      <c r="K3" s="318"/>
      <c r="L3" s="318"/>
      <c r="M3" s="318"/>
      <c r="N3" s="318"/>
      <c r="O3" s="318"/>
      <c r="P3" s="318"/>
      <c r="Q3" s="318"/>
      <c r="R3" s="317"/>
      <c r="S3" s="318"/>
      <c r="T3" s="317"/>
      <c r="U3" s="318"/>
      <c r="V3" s="317"/>
      <c r="W3" s="316"/>
      <c r="X3" s="317"/>
      <c r="Y3" s="316"/>
      <c r="Z3" s="90"/>
      <c r="AA3" s="51"/>
      <c r="AB3" s="90"/>
      <c r="AC3" s="51"/>
      <c r="AD3" s="90"/>
      <c r="AE3" s="198" t="s">
        <v>297</v>
      </c>
      <c r="AF3" s="200"/>
      <c r="AG3" s="199"/>
      <c r="AH3" s="200"/>
      <c r="AI3" s="201"/>
      <c r="AJ3" s="200"/>
      <c r="AK3" s="199"/>
      <c r="AL3" s="661" t="s">
        <v>638</v>
      </c>
      <c r="AM3" s="660"/>
      <c r="AN3" s="660"/>
      <c r="AO3" s="660"/>
      <c r="AP3" s="660"/>
      <c r="AQ3" s="660"/>
      <c r="AR3" s="659"/>
      <c r="AS3" s="414"/>
      <c r="AT3" s="415"/>
      <c r="AU3" s="319"/>
      <c r="AV3" s="320"/>
      <c r="AW3" s="320"/>
      <c r="AX3" s="320"/>
      <c r="AY3" s="320"/>
      <c r="BB3" s="204" t="s">
        <v>444</v>
      </c>
    </row>
    <row r="4" spans="1:106" ht="2.25" customHeight="1" x14ac:dyDescent="0.2">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BB4" s="611"/>
    </row>
    <row r="5" spans="1:106" s="627" customFormat="1" ht="17.25" customHeight="1" x14ac:dyDescent="0.25">
      <c r="A5" s="623"/>
      <c r="B5" s="176">
        <v>1</v>
      </c>
      <c r="C5" s="732" t="s">
        <v>533</v>
      </c>
      <c r="D5" s="732"/>
      <c r="E5" s="733"/>
      <c r="F5" s="733"/>
      <c r="G5" s="733"/>
      <c r="H5" s="734"/>
      <c r="I5" s="734"/>
      <c r="J5" s="734"/>
      <c r="K5" s="734"/>
      <c r="L5" s="734"/>
      <c r="M5" s="734"/>
      <c r="N5" s="734"/>
      <c r="O5" s="734"/>
      <c r="P5" s="734"/>
      <c r="Q5" s="734"/>
      <c r="R5" s="734"/>
      <c r="S5" s="734"/>
      <c r="T5" s="734"/>
      <c r="U5" s="734"/>
      <c r="V5" s="734"/>
      <c r="W5" s="733"/>
      <c r="X5" s="734"/>
      <c r="Y5" s="733"/>
      <c r="Z5" s="734"/>
      <c r="AA5" s="733"/>
      <c r="AB5" s="734"/>
      <c r="AC5" s="733"/>
      <c r="AD5" s="734"/>
      <c r="AE5" s="733"/>
      <c r="AF5" s="734"/>
      <c r="AG5" s="733"/>
      <c r="AH5" s="734"/>
      <c r="AI5" s="734"/>
      <c r="AJ5" s="734"/>
      <c r="AK5" s="733"/>
      <c r="AL5" s="734"/>
      <c r="AM5" s="733"/>
      <c r="AN5" s="734"/>
      <c r="AO5" s="733"/>
      <c r="AP5" s="733"/>
      <c r="AQ5" s="733"/>
      <c r="AR5" s="733"/>
      <c r="AS5" s="733"/>
      <c r="AT5" s="734"/>
      <c r="AU5" s="205"/>
      <c r="AV5" s="624"/>
      <c r="AW5" s="624"/>
      <c r="AX5" s="624"/>
      <c r="AY5" s="624"/>
      <c r="AZ5" s="625"/>
      <c r="BA5" s="626"/>
      <c r="BB5" s="207" t="s">
        <v>445</v>
      </c>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W5" s="735" t="s">
        <v>397</v>
      </c>
      <c r="CX5" s="735"/>
      <c r="CY5" s="735"/>
      <c r="CZ5" s="735"/>
      <c r="DA5" s="735"/>
      <c r="DB5" s="735"/>
    </row>
    <row r="6" spans="1:106" s="210" customFormat="1" ht="15.75" customHeight="1" x14ac:dyDescent="0.25">
      <c r="A6" s="208"/>
      <c r="B6" s="209"/>
      <c r="D6" s="736" t="s">
        <v>298</v>
      </c>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7"/>
      <c r="AF6" s="737"/>
      <c r="AG6" s="737"/>
      <c r="AL6" s="738" t="s">
        <v>520</v>
      </c>
      <c r="AM6" s="738"/>
      <c r="AN6" s="738"/>
      <c r="AO6" s="738"/>
      <c r="AP6" s="738"/>
      <c r="AQ6" s="738"/>
      <c r="AR6" s="738"/>
      <c r="AS6" s="738"/>
      <c r="AT6" s="738"/>
      <c r="AU6" s="738"/>
      <c r="AV6" s="738"/>
      <c r="AW6" s="738"/>
      <c r="AX6" s="738"/>
      <c r="AZ6" s="211"/>
      <c r="BA6" s="187"/>
      <c r="BB6" s="212" t="s">
        <v>628</v>
      </c>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9"/>
      <c r="CW6" s="213" t="s">
        <v>140</v>
      </c>
      <c r="CX6" s="213" t="s">
        <v>141</v>
      </c>
      <c r="CY6" s="214" t="s">
        <v>142</v>
      </c>
      <c r="CZ6" s="214" t="s">
        <v>143</v>
      </c>
      <c r="DA6" s="214" t="s">
        <v>144</v>
      </c>
      <c r="DB6" s="214" t="s">
        <v>145</v>
      </c>
    </row>
    <row r="7" spans="1:106" s="222" customFormat="1" ht="42.75" customHeight="1" x14ac:dyDescent="0.2">
      <c r="A7" s="215"/>
      <c r="B7" s="216">
        <v>2</v>
      </c>
      <c r="C7" s="217" t="s">
        <v>299</v>
      </c>
      <c r="D7" s="217" t="s">
        <v>300</v>
      </c>
      <c r="E7" s="218" t="s">
        <v>301</v>
      </c>
      <c r="F7" s="217" t="s">
        <v>613</v>
      </c>
      <c r="G7" s="219"/>
      <c r="H7" s="218">
        <v>1990</v>
      </c>
      <c r="I7" s="219"/>
      <c r="J7" s="218">
        <v>1995</v>
      </c>
      <c r="K7" s="219"/>
      <c r="L7" s="218">
        <v>1996</v>
      </c>
      <c r="M7" s="219"/>
      <c r="N7" s="218">
        <v>1997</v>
      </c>
      <c r="O7" s="219"/>
      <c r="P7" s="218">
        <v>1998</v>
      </c>
      <c r="Q7" s="219"/>
      <c r="R7" s="218">
        <v>1999</v>
      </c>
      <c r="S7" s="219"/>
      <c r="T7" s="218">
        <v>2000</v>
      </c>
      <c r="U7" s="219"/>
      <c r="V7" s="218">
        <v>2001</v>
      </c>
      <c r="W7" s="219"/>
      <c r="X7" s="218">
        <v>2002</v>
      </c>
      <c r="Y7" s="219"/>
      <c r="Z7" s="218">
        <v>2003</v>
      </c>
      <c r="AA7" s="219"/>
      <c r="AB7" s="218">
        <v>2004</v>
      </c>
      <c r="AC7" s="219"/>
      <c r="AD7" s="218">
        <v>2005</v>
      </c>
      <c r="AE7" s="219"/>
      <c r="AF7" s="218">
        <v>2006</v>
      </c>
      <c r="AG7" s="219"/>
      <c r="AH7" s="218">
        <v>2007</v>
      </c>
      <c r="AI7" s="219"/>
      <c r="AJ7" s="218">
        <v>2008</v>
      </c>
      <c r="AK7" s="219"/>
      <c r="AL7" s="218">
        <v>2009</v>
      </c>
      <c r="AM7" s="219"/>
      <c r="AN7" s="218">
        <v>2010</v>
      </c>
      <c r="AO7" s="219"/>
      <c r="AP7" s="218">
        <v>2011</v>
      </c>
      <c r="AQ7" s="218"/>
      <c r="AR7" s="218">
        <v>2012</v>
      </c>
      <c r="AS7" s="219"/>
      <c r="AT7" s="218">
        <v>2013</v>
      </c>
      <c r="AU7" s="219"/>
      <c r="AV7" s="218">
        <v>2014</v>
      </c>
      <c r="AW7" s="218"/>
      <c r="AX7" s="218">
        <v>2015</v>
      </c>
      <c r="AY7" s="219"/>
      <c r="AZ7" s="220"/>
      <c r="BA7" s="215"/>
      <c r="BB7" s="217" t="s">
        <v>600</v>
      </c>
      <c r="BC7" s="217" t="s">
        <v>601</v>
      </c>
      <c r="BD7" s="217" t="s">
        <v>603</v>
      </c>
      <c r="BE7" s="217" t="s">
        <v>3</v>
      </c>
      <c r="BF7" s="218">
        <v>1990</v>
      </c>
      <c r="BG7" s="218">
        <v>1995</v>
      </c>
      <c r="BH7" s="218"/>
      <c r="BI7" s="218">
        <v>1996</v>
      </c>
      <c r="BJ7" s="218"/>
      <c r="BK7" s="218">
        <v>1997</v>
      </c>
      <c r="BL7" s="218"/>
      <c r="BM7" s="218">
        <v>1998</v>
      </c>
      <c r="BN7" s="218"/>
      <c r="BO7" s="218">
        <v>1999</v>
      </c>
      <c r="BP7" s="218"/>
      <c r="BQ7" s="218">
        <v>2000</v>
      </c>
      <c r="BR7" s="218"/>
      <c r="BS7" s="218">
        <v>2001</v>
      </c>
      <c r="BT7" s="218"/>
      <c r="BU7" s="218">
        <v>2002</v>
      </c>
      <c r="BV7" s="218"/>
      <c r="BW7" s="218">
        <v>2003</v>
      </c>
      <c r="BX7" s="218"/>
      <c r="BY7" s="218">
        <v>2004</v>
      </c>
      <c r="BZ7" s="218"/>
      <c r="CA7" s="218">
        <v>2005</v>
      </c>
      <c r="CB7" s="218"/>
      <c r="CC7" s="218">
        <v>2006</v>
      </c>
      <c r="CD7" s="218"/>
      <c r="CE7" s="218">
        <v>2007</v>
      </c>
      <c r="CF7" s="218"/>
      <c r="CG7" s="218">
        <v>2008</v>
      </c>
      <c r="CH7" s="218"/>
      <c r="CI7" s="218">
        <v>2009</v>
      </c>
      <c r="CJ7" s="218"/>
      <c r="CK7" s="218">
        <v>2010</v>
      </c>
      <c r="CL7" s="218"/>
      <c r="CM7" s="218">
        <v>2011</v>
      </c>
      <c r="CN7" s="218"/>
      <c r="CO7" s="218">
        <v>2012</v>
      </c>
      <c r="CP7" s="218"/>
      <c r="CQ7" s="218">
        <v>2013</v>
      </c>
      <c r="CR7" s="218"/>
      <c r="CS7" s="218">
        <v>2014</v>
      </c>
      <c r="CT7" s="218"/>
      <c r="CU7" s="218">
        <v>2015</v>
      </c>
      <c r="CW7" s="213">
        <v>4</v>
      </c>
      <c r="CX7" s="213" t="s">
        <v>6</v>
      </c>
      <c r="CY7" s="213">
        <v>213500</v>
      </c>
      <c r="CZ7" s="213">
        <v>47150</v>
      </c>
      <c r="DA7" s="213">
        <v>10000</v>
      </c>
      <c r="DB7" s="213">
        <v>65330</v>
      </c>
    </row>
    <row r="8" spans="1:106" s="234" customFormat="1" ht="20.25" customHeight="1" x14ac:dyDescent="0.2">
      <c r="A8" s="223"/>
      <c r="B8" s="224">
        <v>6</v>
      </c>
      <c r="C8" s="225">
        <v>1</v>
      </c>
      <c r="D8" s="226" t="s">
        <v>212</v>
      </c>
      <c r="E8" s="227" t="s">
        <v>302</v>
      </c>
      <c r="F8" s="585">
        <v>140000</v>
      </c>
      <c r="G8" s="591"/>
      <c r="H8" s="585"/>
      <c r="I8" s="591"/>
      <c r="J8" s="585">
        <v>262500</v>
      </c>
      <c r="K8" s="591"/>
      <c r="L8" s="585"/>
      <c r="M8" s="591"/>
      <c r="N8" s="585"/>
      <c r="O8" s="591"/>
      <c r="P8" s="585"/>
      <c r="Q8" s="591"/>
      <c r="R8" s="585">
        <v>172500</v>
      </c>
      <c r="S8" s="591"/>
      <c r="T8" s="585"/>
      <c r="U8" s="591"/>
      <c r="V8" s="585"/>
      <c r="W8" s="591"/>
      <c r="X8" s="585"/>
      <c r="Y8" s="591"/>
      <c r="Z8" s="585"/>
      <c r="AA8" s="591"/>
      <c r="AB8" s="585"/>
      <c r="AC8" s="591"/>
      <c r="AD8" s="585"/>
      <c r="AE8" s="591"/>
      <c r="AF8" s="585"/>
      <c r="AG8" s="591"/>
      <c r="AH8" s="585">
        <v>139000</v>
      </c>
      <c r="AI8" s="591"/>
      <c r="AJ8" s="585">
        <v>165000</v>
      </c>
      <c r="AK8" s="591"/>
      <c r="AL8" s="585">
        <v>165000</v>
      </c>
      <c r="AM8" s="591"/>
      <c r="AN8" s="585">
        <v>165000</v>
      </c>
      <c r="AO8" s="591"/>
      <c r="AP8" s="585">
        <v>146000</v>
      </c>
      <c r="AQ8" s="591"/>
      <c r="AR8" s="585">
        <v>91000</v>
      </c>
      <c r="AS8" s="591"/>
      <c r="AT8" s="585"/>
      <c r="AU8" s="591"/>
      <c r="AV8" s="585"/>
      <c r="AW8" s="591"/>
      <c r="AX8" s="585"/>
      <c r="AY8" s="591"/>
      <c r="AZ8" s="228"/>
      <c r="BA8" s="229"/>
      <c r="BB8" s="95">
        <v>1</v>
      </c>
      <c r="BC8" s="230" t="s">
        <v>467</v>
      </c>
      <c r="BD8" s="231" t="s">
        <v>468</v>
      </c>
      <c r="BE8" s="232" t="str">
        <f>IF(OR(ISERR(AVERAGE(H8:AX8)),ISBLANK(F8)),"N/A",IF(OR(F8&lt;AVERAGE(H8:AX8)*0.75, F8&gt;AVERAGE(H8:AX8)*1.25), "&lt;&gt;Average", "ok"))</f>
        <v>ok</v>
      </c>
      <c r="BF8" s="233" t="s">
        <v>471</v>
      </c>
      <c r="BG8" s="95" t="str">
        <f>IF(OR(ISBLANK(H8),ISBLANK(J8)),"N/A",IF(ABS((J8-H8)/H8)&gt;1,"&gt; 100%","ok"))</f>
        <v>N/A</v>
      </c>
      <c r="BH8" s="233"/>
      <c r="BI8" s="78" t="str">
        <f>IF(OR(ISBLANK(L8),ISBLANK(J8)),"N/A",IF(ABS((L8-J8)/J8)&gt;0.25,"&gt; 25%","ok"))</f>
        <v>N/A</v>
      </c>
      <c r="BJ8" s="233"/>
      <c r="BK8" s="78" t="str">
        <f t="shared" ref="BK8:BY16" si="0">IF(OR(ISBLANK(N8),ISBLANK(L8)),"N/A",IF(ABS((N8-L8)/L8)&gt;0.25,"&gt; 25%","ok"))</f>
        <v>N/A</v>
      </c>
      <c r="BL8" s="233"/>
      <c r="BM8" s="78" t="str">
        <f t="shared" si="0"/>
        <v>N/A</v>
      </c>
      <c r="BN8" s="233"/>
      <c r="BO8" s="78" t="str">
        <f t="shared" si="0"/>
        <v>N/A</v>
      </c>
      <c r="BP8" s="233"/>
      <c r="BQ8" s="78" t="str">
        <f t="shared" si="0"/>
        <v>N/A</v>
      </c>
      <c r="BR8" s="233"/>
      <c r="BS8" s="78" t="str">
        <f t="shared" si="0"/>
        <v>N/A</v>
      </c>
      <c r="BT8" s="233"/>
      <c r="BU8" s="78" t="str">
        <f t="shared" si="0"/>
        <v>N/A</v>
      </c>
      <c r="BV8" s="233"/>
      <c r="BW8" s="78" t="str">
        <f t="shared" si="0"/>
        <v>N/A</v>
      </c>
      <c r="BX8" s="233"/>
      <c r="BY8" s="78" t="str">
        <f t="shared" si="0"/>
        <v>N/A</v>
      </c>
      <c r="BZ8" s="233"/>
      <c r="CA8" s="78" t="str">
        <f t="shared" ref="CA8:CO16" si="1">IF(OR(ISBLANK(AD8),ISBLANK(AB8)),"N/A",IF(ABS((AD8-AB8)/AB8)&gt;0.25,"&gt; 25%","ok"))</f>
        <v>N/A</v>
      </c>
      <c r="CB8" s="233"/>
      <c r="CC8" s="78" t="str">
        <f t="shared" si="1"/>
        <v>N/A</v>
      </c>
      <c r="CD8" s="233"/>
      <c r="CE8" s="78" t="str">
        <f t="shared" si="1"/>
        <v>N/A</v>
      </c>
      <c r="CF8" s="233"/>
      <c r="CG8" s="78" t="str">
        <f t="shared" si="1"/>
        <v>ok</v>
      </c>
      <c r="CH8" s="233"/>
      <c r="CI8" s="78" t="str">
        <f t="shared" si="1"/>
        <v>ok</v>
      </c>
      <c r="CJ8" s="233"/>
      <c r="CK8" s="78" t="str">
        <f t="shared" si="1"/>
        <v>ok</v>
      </c>
      <c r="CL8" s="233"/>
      <c r="CM8" s="78" t="str">
        <f t="shared" si="1"/>
        <v>ok</v>
      </c>
      <c r="CN8" s="233"/>
      <c r="CO8" s="78" t="str">
        <f t="shared" si="1"/>
        <v>&gt; 25%</v>
      </c>
      <c r="CP8" s="233"/>
      <c r="CQ8" s="78" t="str">
        <f t="shared" ref="CQ8:CU16" si="2">IF(OR(ISBLANK(AT8),ISBLANK(AR8)),"N/A",IF(ABS((AT8-AR8)/AR8)&gt;0.25,"&gt; 25%","ok"))</f>
        <v>N/A</v>
      </c>
      <c r="CR8" s="233"/>
      <c r="CS8" s="78" t="str">
        <f t="shared" si="2"/>
        <v>N/A</v>
      </c>
      <c r="CT8" s="233"/>
      <c r="CU8" s="78" t="str">
        <f t="shared" si="2"/>
        <v>N/A</v>
      </c>
      <c r="CW8" s="213">
        <v>8</v>
      </c>
      <c r="CX8" s="213" t="s">
        <v>7</v>
      </c>
      <c r="CY8" s="213">
        <v>42690</v>
      </c>
      <c r="CZ8" s="213">
        <v>26900</v>
      </c>
      <c r="DA8" s="213">
        <v>3300</v>
      </c>
      <c r="DB8" s="213">
        <v>30200</v>
      </c>
    </row>
    <row r="9" spans="1:106" s="234" customFormat="1" ht="20.25" customHeight="1" x14ac:dyDescent="0.2">
      <c r="A9" s="223"/>
      <c r="B9" s="224">
        <v>7</v>
      </c>
      <c r="C9" s="235">
        <v>2</v>
      </c>
      <c r="D9" s="236" t="s">
        <v>214</v>
      </c>
      <c r="E9" s="235" t="s">
        <v>302</v>
      </c>
      <c r="F9" s="577">
        <v>118000</v>
      </c>
      <c r="G9" s="592"/>
      <c r="H9" s="577"/>
      <c r="I9" s="592"/>
      <c r="J9" s="577">
        <v>205370</v>
      </c>
      <c r="K9" s="592"/>
      <c r="L9" s="577"/>
      <c r="M9" s="592"/>
      <c r="N9" s="577"/>
      <c r="O9" s="592"/>
      <c r="P9" s="577"/>
      <c r="Q9" s="592"/>
      <c r="R9" s="577">
        <v>131175</v>
      </c>
      <c r="S9" s="592"/>
      <c r="T9" s="577"/>
      <c r="U9" s="592"/>
      <c r="V9" s="577"/>
      <c r="W9" s="592"/>
      <c r="X9" s="577"/>
      <c r="Y9" s="592"/>
      <c r="Z9" s="577"/>
      <c r="AA9" s="592"/>
      <c r="AB9" s="577"/>
      <c r="AC9" s="592"/>
      <c r="AD9" s="577"/>
      <c r="AE9" s="592"/>
      <c r="AF9" s="577"/>
      <c r="AG9" s="592"/>
      <c r="AH9" s="577">
        <v>117000</v>
      </c>
      <c r="AI9" s="592"/>
      <c r="AJ9" s="577">
        <v>121000</v>
      </c>
      <c r="AK9" s="592"/>
      <c r="AL9" s="577">
        <v>126000</v>
      </c>
      <c r="AM9" s="592"/>
      <c r="AN9" s="577">
        <v>119000</v>
      </c>
      <c r="AO9" s="592"/>
      <c r="AP9" s="577">
        <v>122000</v>
      </c>
      <c r="AQ9" s="592"/>
      <c r="AR9" s="577">
        <v>79500</v>
      </c>
      <c r="AS9" s="592"/>
      <c r="AT9" s="577"/>
      <c r="AU9" s="592"/>
      <c r="AV9" s="577"/>
      <c r="AW9" s="592"/>
      <c r="AX9" s="577"/>
      <c r="AY9" s="592"/>
      <c r="AZ9" s="228"/>
      <c r="BA9" s="229"/>
      <c r="BB9" s="80">
        <v>2</v>
      </c>
      <c r="BC9" s="237" t="s">
        <v>398</v>
      </c>
      <c r="BD9" s="81" t="s">
        <v>468</v>
      </c>
      <c r="BE9" s="80" t="str">
        <f t="shared" ref="BE9:BE16" si="3">IF(OR(ISERR(AVERAGE(H9:AV9)),ISBLANK(F9)),"N/A",IF(OR(F9&lt;AVERAGE(H9:AV9)*0.75, F9&gt;AVERAGE(H9:AV9)*1.25), "&lt;&gt;Average", "ok"))</f>
        <v>ok</v>
      </c>
      <c r="BF9" s="238" t="s">
        <v>471</v>
      </c>
      <c r="BG9" s="95" t="str">
        <f t="shared" ref="BG9:BG16" si="4">IF(OR(ISBLANK(H9),ISBLANK(J9)),"N/A",IF(ABS((J9-H9)/H9)&gt;1,"&gt; 100%","ok"))</f>
        <v>N/A</v>
      </c>
      <c r="BH9" s="238"/>
      <c r="BI9" s="78" t="str">
        <f t="shared" ref="BI9:BI16" si="5">IF(OR(ISBLANK(L9),ISBLANK(J9)),"N/A",IF(ABS((L9-J9)/J9)&gt;0.25,"&gt; 25%","ok"))</f>
        <v>N/A</v>
      </c>
      <c r="BJ9" s="238"/>
      <c r="BK9" s="78" t="str">
        <f t="shared" si="0"/>
        <v>N/A</v>
      </c>
      <c r="BL9" s="238"/>
      <c r="BM9" s="78" t="str">
        <f t="shared" si="0"/>
        <v>N/A</v>
      </c>
      <c r="BN9" s="238"/>
      <c r="BO9" s="78" t="str">
        <f t="shared" si="0"/>
        <v>N/A</v>
      </c>
      <c r="BP9" s="238"/>
      <c r="BQ9" s="78" t="str">
        <f t="shared" si="0"/>
        <v>N/A</v>
      </c>
      <c r="BR9" s="238"/>
      <c r="BS9" s="78" t="str">
        <f t="shared" si="0"/>
        <v>N/A</v>
      </c>
      <c r="BT9" s="238"/>
      <c r="BU9" s="78" t="str">
        <f t="shared" si="0"/>
        <v>N/A</v>
      </c>
      <c r="BV9" s="238"/>
      <c r="BW9" s="78" t="str">
        <f t="shared" si="0"/>
        <v>N/A</v>
      </c>
      <c r="BX9" s="238"/>
      <c r="BY9" s="78" t="str">
        <f t="shared" si="0"/>
        <v>N/A</v>
      </c>
      <c r="BZ9" s="238"/>
      <c r="CA9" s="78" t="str">
        <f t="shared" si="1"/>
        <v>N/A</v>
      </c>
      <c r="CB9" s="238"/>
      <c r="CC9" s="78" t="str">
        <f t="shared" si="1"/>
        <v>N/A</v>
      </c>
      <c r="CD9" s="238"/>
      <c r="CE9" s="78" t="str">
        <f t="shared" si="1"/>
        <v>N/A</v>
      </c>
      <c r="CF9" s="238"/>
      <c r="CG9" s="78" t="str">
        <f t="shared" si="1"/>
        <v>ok</v>
      </c>
      <c r="CH9" s="238"/>
      <c r="CI9" s="78" t="str">
        <f t="shared" si="1"/>
        <v>ok</v>
      </c>
      <c r="CJ9" s="238"/>
      <c r="CK9" s="78" t="str">
        <f t="shared" si="1"/>
        <v>ok</v>
      </c>
      <c r="CL9" s="238"/>
      <c r="CM9" s="78" t="str">
        <f t="shared" si="1"/>
        <v>ok</v>
      </c>
      <c r="CN9" s="238"/>
      <c r="CO9" s="78" t="str">
        <f t="shared" si="1"/>
        <v>&gt; 25%</v>
      </c>
      <c r="CP9" s="238"/>
      <c r="CQ9" s="78" t="str">
        <f t="shared" si="2"/>
        <v>N/A</v>
      </c>
      <c r="CR9" s="238"/>
      <c r="CS9" s="78" t="str">
        <f t="shared" si="2"/>
        <v>N/A</v>
      </c>
      <c r="CT9" s="238"/>
      <c r="CU9" s="78" t="str">
        <f t="shared" si="2"/>
        <v>N/A</v>
      </c>
      <c r="CW9" s="213">
        <v>12</v>
      </c>
      <c r="CX9" s="213" t="s">
        <v>8</v>
      </c>
      <c r="CY9" s="213">
        <v>212000</v>
      </c>
      <c r="CZ9" s="213">
        <v>11250</v>
      </c>
      <c r="DA9" s="213">
        <v>420</v>
      </c>
      <c r="DB9" s="213">
        <v>11670</v>
      </c>
    </row>
    <row r="10" spans="1:106" s="631" customFormat="1" ht="20.25" customHeight="1" x14ac:dyDescent="0.2">
      <c r="A10" s="628" t="s">
        <v>460</v>
      </c>
      <c r="B10" s="224">
        <v>5</v>
      </c>
      <c r="C10" s="225">
        <v>3</v>
      </c>
      <c r="D10" s="236" t="s">
        <v>275</v>
      </c>
      <c r="E10" s="235" t="s">
        <v>302</v>
      </c>
      <c r="F10" s="577">
        <f>F8-F9</f>
        <v>22000</v>
      </c>
      <c r="G10" s="592"/>
      <c r="H10" s="577"/>
      <c r="I10" s="592"/>
      <c r="J10" s="577">
        <v>57130</v>
      </c>
      <c r="K10" s="592"/>
      <c r="L10" s="577"/>
      <c r="M10" s="592"/>
      <c r="N10" s="577"/>
      <c r="O10" s="592"/>
      <c r="P10" s="577"/>
      <c r="Q10" s="592"/>
      <c r="R10" s="577">
        <v>41325</v>
      </c>
      <c r="S10" s="592"/>
      <c r="T10" s="577"/>
      <c r="U10" s="592"/>
      <c r="V10" s="577"/>
      <c r="W10" s="592"/>
      <c r="X10" s="577"/>
      <c r="Y10" s="592"/>
      <c r="Z10" s="577"/>
      <c r="AA10" s="592"/>
      <c r="AB10" s="577"/>
      <c r="AC10" s="592"/>
      <c r="AD10" s="577"/>
      <c r="AE10" s="592"/>
      <c r="AF10" s="577"/>
      <c r="AG10" s="592"/>
      <c r="AH10" s="577">
        <v>22000</v>
      </c>
      <c r="AI10" s="592"/>
      <c r="AJ10" s="577">
        <v>44000</v>
      </c>
      <c r="AK10" s="592"/>
      <c r="AL10" s="577">
        <v>39000</v>
      </c>
      <c r="AM10" s="592"/>
      <c r="AN10" s="577">
        <v>46000</v>
      </c>
      <c r="AO10" s="592"/>
      <c r="AP10" s="577">
        <v>24000</v>
      </c>
      <c r="AQ10" s="592"/>
      <c r="AR10" s="577">
        <v>11500</v>
      </c>
      <c r="AS10" s="592"/>
      <c r="AT10" s="577"/>
      <c r="AU10" s="592"/>
      <c r="AV10" s="577"/>
      <c r="AW10" s="592"/>
      <c r="AX10" s="577"/>
      <c r="AY10" s="592"/>
      <c r="AZ10" s="629"/>
      <c r="BA10" s="630"/>
      <c r="BB10" s="95">
        <v>3</v>
      </c>
      <c r="BC10" s="237" t="s">
        <v>420</v>
      </c>
      <c r="BD10" s="80" t="s">
        <v>468</v>
      </c>
      <c r="BE10" s="80" t="str">
        <f t="shared" si="3"/>
        <v>&lt;&gt;Average</v>
      </c>
      <c r="BF10" s="238" t="s">
        <v>471</v>
      </c>
      <c r="BG10" s="95" t="str">
        <f t="shared" si="4"/>
        <v>N/A</v>
      </c>
      <c r="BH10" s="238"/>
      <c r="BI10" s="78" t="str">
        <f t="shared" si="5"/>
        <v>N/A</v>
      </c>
      <c r="BJ10" s="238"/>
      <c r="BK10" s="78" t="str">
        <f t="shared" si="0"/>
        <v>N/A</v>
      </c>
      <c r="BL10" s="238"/>
      <c r="BM10" s="78" t="str">
        <f t="shared" si="0"/>
        <v>N/A</v>
      </c>
      <c r="BN10" s="238"/>
      <c r="BO10" s="78" t="str">
        <f t="shared" si="0"/>
        <v>N/A</v>
      </c>
      <c r="BP10" s="238"/>
      <c r="BQ10" s="78" t="str">
        <f t="shared" si="0"/>
        <v>N/A</v>
      </c>
      <c r="BR10" s="238"/>
      <c r="BS10" s="78" t="str">
        <f t="shared" si="0"/>
        <v>N/A</v>
      </c>
      <c r="BT10" s="238"/>
      <c r="BU10" s="78" t="str">
        <f t="shared" si="0"/>
        <v>N/A</v>
      </c>
      <c r="BV10" s="238"/>
      <c r="BW10" s="78" t="str">
        <f t="shared" si="0"/>
        <v>N/A</v>
      </c>
      <c r="BX10" s="238"/>
      <c r="BY10" s="78" t="str">
        <f t="shared" si="0"/>
        <v>N/A</v>
      </c>
      <c r="BZ10" s="238"/>
      <c r="CA10" s="78" t="str">
        <f t="shared" si="1"/>
        <v>N/A</v>
      </c>
      <c r="CB10" s="238"/>
      <c r="CC10" s="78" t="str">
        <f t="shared" si="1"/>
        <v>N/A</v>
      </c>
      <c r="CD10" s="238"/>
      <c r="CE10" s="78" t="str">
        <f t="shared" si="1"/>
        <v>N/A</v>
      </c>
      <c r="CF10" s="238"/>
      <c r="CG10" s="78" t="str">
        <f t="shared" si="1"/>
        <v>&gt; 25%</v>
      </c>
      <c r="CH10" s="238"/>
      <c r="CI10" s="78" t="str">
        <f t="shared" si="1"/>
        <v>ok</v>
      </c>
      <c r="CJ10" s="238"/>
      <c r="CK10" s="78" t="str">
        <f t="shared" si="1"/>
        <v>ok</v>
      </c>
      <c r="CL10" s="238"/>
      <c r="CM10" s="78" t="str">
        <f t="shared" si="1"/>
        <v>&gt; 25%</v>
      </c>
      <c r="CN10" s="238"/>
      <c r="CO10" s="78" t="str">
        <f t="shared" si="1"/>
        <v>&gt; 25%</v>
      </c>
      <c r="CP10" s="238"/>
      <c r="CQ10" s="78" t="str">
        <f t="shared" si="2"/>
        <v>N/A</v>
      </c>
      <c r="CR10" s="238"/>
      <c r="CS10" s="78" t="str">
        <f t="shared" si="2"/>
        <v>N/A</v>
      </c>
      <c r="CT10" s="238"/>
      <c r="CU10" s="78" t="str">
        <f t="shared" si="2"/>
        <v>N/A</v>
      </c>
      <c r="CW10" s="213">
        <v>20</v>
      </c>
      <c r="CX10" s="213" t="s">
        <v>146</v>
      </c>
      <c r="CY10" s="213">
        <v>472.4</v>
      </c>
      <c r="CZ10" s="213">
        <v>315.60000000000002</v>
      </c>
      <c r="DA10" s="213"/>
      <c r="DB10" s="213">
        <v>315.60000000000002</v>
      </c>
    </row>
    <row r="11" spans="1:106" s="234" customFormat="1" ht="27.95" customHeight="1" x14ac:dyDescent="0.2">
      <c r="A11" s="223"/>
      <c r="B11" s="224">
        <v>8</v>
      </c>
      <c r="C11" s="235">
        <v>4</v>
      </c>
      <c r="D11" s="239" t="s">
        <v>217</v>
      </c>
      <c r="E11" s="235" t="s">
        <v>302</v>
      </c>
      <c r="F11" s="577">
        <v>0</v>
      </c>
      <c r="G11" s="592"/>
      <c r="H11" s="577"/>
      <c r="I11" s="592"/>
      <c r="J11" s="577">
        <v>0</v>
      </c>
      <c r="K11" s="592"/>
      <c r="L11" s="577"/>
      <c r="M11" s="592"/>
      <c r="N11" s="577"/>
      <c r="O11" s="592"/>
      <c r="P11" s="577"/>
      <c r="Q11" s="592"/>
      <c r="R11" s="577">
        <v>0</v>
      </c>
      <c r="S11" s="592"/>
      <c r="T11" s="577"/>
      <c r="U11" s="592"/>
      <c r="V11" s="577"/>
      <c r="W11" s="592"/>
      <c r="X11" s="577"/>
      <c r="Y11" s="592"/>
      <c r="Z11" s="577"/>
      <c r="AA11" s="592"/>
      <c r="AB11" s="577"/>
      <c r="AC11" s="592"/>
      <c r="AD11" s="577"/>
      <c r="AE11" s="592"/>
      <c r="AF11" s="577"/>
      <c r="AG11" s="592"/>
      <c r="AH11" s="577"/>
      <c r="AI11" s="592"/>
      <c r="AJ11" s="577"/>
      <c r="AK11" s="592"/>
      <c r="AL11" s="577"/>
      <c r="AM11" s="592"/>
      <c r="AN11" s="577"/>
      <c r="AO11" s="592"/>
      <c r="AP11" s="577"/>
      <c r="AQ11" s="592"/>
      <c r="AR11" s="577"/>
      <c r="AS11" s="592"/>
      <c r="AT11" s="577"/>
      <c r="AU11" s="592"/>
      <c r="AV11" s="577"/>
      <c r="AW11" s="592"/>
      <c r="AX11" s="577"/>
      <c r="AY11" s="592"/>
      <c r="AZ11" s="228"/>
      <c r="BA11" s="229"/>
      <c r="BB11" s="80">
        <v>4</v>
      </c>
      <c r="BC11" s="237" t="s">
        <v>554</v>
      </c>
      <c r="BD11" s="81" t="s">
        <v>468</v>
      </c>
      <c r="BE11" s="80" t="str">
        <f t="shared" si="3"/>
        <v>ok</v>
      </c>
      <c r="BF11" s="238" t="s">
        <v>471</v>
      </c>
      <c r="BG11" s="95" t="str">
        <f t="shared" si="4"/>
        <v>N/A</v>
      </c>
      <c r="BH11" s="238"/>
      <c r="BI11" s="78" t="str">
        <f t="shared" si="5"/>
        <v>N/A</v>
      </c>
      <c r="BJ11" s="238"/>
      <c r="BK11" s="78" t="str">
        <f t="shared" si="0"/>
        <v>N/A</v>
      </c>
      <c r="BL11" s="238"/>
      <c r="BM11" s="78" t="str">
        <f t="shared" si="0"/>
        <v>N/A</v>
      </c>
      <c r="BN11" s="238"/>
      <c r="BO11" s="78" t="str">
        <f t="shared" si="0"/>
        <v>N/A</v>
      </c>
      <c r="BP11" s="238"/>
      <c r="BQ11" s="78" t="str">
        <f t="shared" si="0"/>
        <v>N/A</v>
      </c>
      <c r="BR11" s="238"/>
      <c r="BS11" s="78" t="str">
        <f t="shared" si="0"/>
        <v>N/A</v>
      </c>
      <c r="BT11" s="238"/>
      <c r="BU11" s="78" t="str">
        <f t="shared" si="0"/>
        <v>N/A</v>
      </c>
      <c r="BV11" s="238"/>
      <c r="BW11" s="78" t="str">
        <f t="shared" si="0"/>
        <v>N/A</v>
      </c>
      <c r="BX11" s="238"/>
      <c r="BY11" s="78" t="str">
        <f t="shared" si="0"/>
        <v>N/A</v>
      </c>
      <c r="BZ11" s="238"/>
      <c r="CA11" s="78" t="str">
        <f t="shared" si="1"/>
        <v>N/A</v>
      </c>
      <c r="CB11" s="238"/>
      <c r="CC11" s="78" t="str">
        <f t="shared" si="1"/>
        <v>N/A</v>
      </c>
      <c r="CD11" s="238"/>
      <c r="CE11" s="78" t="str">
        <f t="shared" si="1"/>
        <v>N/A</v>
      </c>
      <c r="CF11" s="238"/>
      <c r="CG11" s="78" t="str">
        <f t="shared" si="1"/>
        <v>N/A</v>
      </c>
      <c r="CH11" s="238"/>
      <c r="CI11" s="78" t="str">
        <f t="shared" si="1"/>
        <v>N/A</v>
      </c>
      <c r="CJ11" s="238"/>
      <c r="CK11" s="78" t="str">
        <f t="shared" si="1"/>
        <v>N/A</v>
      </c>
      <c r="CL11" s="238"/>
      <c r="CM11" s="78" t="str">
        <f t="shared" si="1"/>
        <v>N/A</v>
      </c>
      <c r="CN11" s="238"/>
      <c r="CO11" s="78" t="str">
        <f t="shared" si="1"/>
        <v>N/A</v>
      </c>
      <c r="CP11" s="238"/>
      <c r="CQ11" s="78" t="str">
        <f t="shared" si="2"/>
        <v>N/A</v>
      </c>
      <c r="CR11" s="238"/>
      <c r="CS11" s="78" t="str">
        <f t="shared" si="2"/>
        <v>N/A</v>
      </c>
      <c r="CT11" s="238"/>
      <c r="CU11" s="78" t="str">
        <f t="shared" si="2"/>
        <v>N/A</v>
      </c>
      <c r="CW11" s="213">
        <v>24</v>
      </c>
      <c r="CX11" s="213" t="s">
        <v>9</v>
      </c>
      <c r="CY11" s="213">
        <v>1259000</v>
      </c>
      <c r="CZ11" s="213">
        <v>148000</v>
      </c>
      <c r="DA11" s="213">
        <v>400</v>
      </c>
      <c r="DB11" s="213">
        <v>148400</v>
      </c>
    </row>
    <row r="12" spans="1:106" s="629" customFormat="1" ht="27.95" customHeight="1" x14ac:dyDescent="0.2">
      <c r="A12" s="628" t="s">
        <v>460</v>
      </c>
      <c r="B12" s="224">
        <v>124</v>
      </c>
      <c r="C12" s="240">
        <v>5</v>
      </c>
      <c r="D12" s="241" t="s">
        <v>274</v>
      </c>
      <c r="E12" s="242" t="s">
        <v>302</v>
      </c>
      <c r="F12" s="582">
        <v>22000</v>
      </c>
      <c r="G12" s="593"/>
      <c r="H12" s="582"/>
      <c r="I12" s="593"/>
      <c r="J12" s="582">
        <v>57130</v>
      </c>
      <c r="K12" s="593"/>
      <c r="L12" s="582"/>
      <c r="M12" s="593"/>
      <c r="N12" s="582"/>
      <c r="O12" s="593"/>
      <c r="P12" s="582"/>
      <c r="Q12" s="593"/>
      <c r="R12" s="582">
        <v>41325</v>
      </c>
      <c r="S12" s="593"/>
      <c r="T12" s="582"/>
      <c r="U12" s="593"/>
      <c r="V12" s="582"/>
      <c r="W12" s="593"/>
      <c r="X12" s="582"/>
      <c r="Y12" s="593"/>
      <c r="Z12" s="582"/>
      <c r="AA12" s="593"/>
      <c r="AB12" s="582">
        <v>29000</v>
      </c>
      <c r="AC12" s="593"/>
      <c r="AD12" s="582"/>
      <c r="AE12" s="593"/>
      <c r="AF12" s="582"/>
      <c r="AG12" s="593"/>
      <c r="AH12" s="582">
        <v>22000</v>
      </c>
      <c r="AI12" s="593"/>
      <c r="AJ12" s="582">
        <v>44000</v>
      </c>
      <c r="AK12" s="593"/>
      <c r="AL12" s="582">
        <v>43000</v>
      </c>
      <c r="AM12" s="593"/>
      <c r="AN12" s="582"/>
      <c r="AO12" s="593"/>
      <c r="AP12" s="582"/>
      <c r="AQ12" s="593"/>
      <c r="AR12" s="582"/>
      <c r="AS12" s="593"/>
      <c r="AT12" s="582"/>
      <c r="AU12" s="593"/>
      <c r="AV12" s="582"/>
      <c r="AW12" s="593"/>
      <c r="AX12" s="582"/>
      <c r="AY12" s="593"/>
      <c r="BA12" s="630"/>
      <c r="BB12" s="95">
        <v>5</v>
      </c>
      <c r="BC12" s="243" t="s">
        <v>419</v>
      </c>
      <c r="BD12" s="81" t="s">
        <v>468</v>
      </c>
      <c r="BE12" s="80" t="str">
        <f t="shared" si="3"/>
        <v>&lt;&gt;Average</v>
      </c>
      <c r="BF12" s="238" t="s">
        <v>471</v>
      </c>
      <c r="BG12" s="95" t="str">
        <f t="shared" si="4"/>
        <v>N/A</v>
      </c>
      <c r="BH12" s="238"/>
      <c r="BI12" s="78" t="str">
        <f t="shared" si="5"/>
        <v>N/A</v>
      </c>
      <c r="BJ12" s="238"/>
      <c r="BK12" s="78" t="str">
        <f t="shared" si="0"/>
        <v>N/A</v>
      </c>
      <c r="BL12" s="238"/>
      <c r="BM12" s="78" t="str">
        <f t="shared" si="0"/>
        <v>N/A</v>
      </c>
      <c r="BN12" s="238"/>
      <c r="BO12" s="78" t="str">
        <f t="shared" si="0"/>
        <v>N/A</v>
      </c>
      <c r="BP12" s="238"/>
      <c r="BQ12" s="78" t="str">
        <f t="shared" si="0"/>
        <v>N/A</v>
      </c>
      <c r="BR12" s="238"/>
      <c r="BS12" s="78" t="str">
        <f t="shared" si="0"/>
        <v>N/A</v>
      </c>
      <c r="BT12" s="238"/>
      <c r="BU12" s="78" t="str">
        <f t="shared" si="0"/>
        <v>N/A</v>
      </c>
      <c r="BV12" s="238"/>
      <c r="BW12" s="78" t="str">
        <f t="shared" si="0"/>
        <v>N/A</v>
      </c>
      <c r="BX12" s="238"/>
      <c r="BY12" s="78" t="str">
        <f t="shared" si="0"/>
        <v>N/A</v>
      </c>
      <c r="BZ12" s="238"/>
      <c r="CA12" s="78" t="str">
        <f t="shared" si="1"/>
        <v>N/A</v>
      </c>
      <c r="CB12" s="238"/>
      <c r="CC12" s="78" t="str">
        <f t="shared" si="1"/>
        <v>N/A</v>
      </c>
      <c r="CD12" s="238"/>
      <c r="CE12" s="78" t="str">
        <f t="shared" si="1"/>
        <v>N/A</v>
      </c>
      <c r="CF12" s="238"/>
      <c r="CG12" s="78" t="str">
        <f t="shared" si="1"/>
        <v>&gt; 25%</v>
      </c>
      <c r="CH12" s="238"/>
      <c r="CI12" s="78" t="str">
        <f t="shared" si="1"/>
        <v>ok</v>
      </c>
      <c r="CJ12" s="238"/>
      <c r="CK12" s="78" t="str">
        <f t="shared" si="1"/>
        <v>N/A</v>
      </c>
      <c r="CL12" s="238"/>
      <c r="CM12" s="78" t="str">
        <f t="shared" si="1"/>
        <v>N/A</v>
      </c>
      <c r="CN12" s="238"/>
      <c r="CO12" s="78" t="str">
        <f t="shared" si="1"/>
        <v>N/A</v>
      </c>
      <c r="CP12" s="238"/>
      <c r="CQ12" s="78" t="str">
        <f t="shared" si="2"/>
        <v>N/A</v>
      </c>
      <c r="CR12" s="238"/>
      <c r="CS12" s="78" t="str">
        <f t="shared" si="2"/>
        <v>N/A</v>
      </c>
      <c r="CT12" s="238"/>
      <c r="CU12" s="78" t="str">
        <f t="shared" si="2"/>
        <v>N/A</v>
      </c>
      <c r="CW12" s="213">
        <v>28</v>
      </c>
      <c r="CX12" s="213" t="s">
        <v>10</v>
      </c>
      <c r="CY12" s="213">
        <v>453.2</v>
      </c>
      <c r="CZ12" s="213">
        <v>52</v>
      </c>
      <c r="DA12" s="213">
        <v>0</v>
      </c>
      <c r="DB12" s="213">
        <v>52</v>
      </c>
    </row>
    <row r="13" spans="1:106" s="629" customFormat="1" ht="27.95" customHeight="1" x14ac:dyDescent="0.2">
      <c r="A13" s="437" t="s">
        <v>460</v>
      </c>
      <c r="B13" s="224">
        <v>127</v>
      </c>
      <c r="C13" s="235">
        <v>6</v>
      </c>
      <c r="D13" s="239" t="s">
        <v>220</v>
      </c>
      <c r="E13" s="244" t="s">
        <v>302</v>
      </c>
      <c r="F13" s="577">
        <v>0</v>
      </c>
      <c r="G13" s="592"/>
      <c r="H13" s="577"/>
      <c r="I13" s="592"/>
      <c r="J13" s="577"/>
      <c r="K13" s="592"/>
      <c r="L13" s="577"/>
      <c r="M13" s="592"/>
      <c r="N13" s="577"/>
      <c r="O13" s="592"/>
      <c r="P13" s="577"/>
      <c r="Q13" s="592"/>
      <c r="R13" s="577"/>
      <c r="S13" s="592"/>
      <c r="T13" s="577"/>
      <c r="U13" s="592"/>
      <c r="V13" s="577"/>
      <c r="W13" s="592"/>
      <c r="X13" s="577"/>
      <c r="Y13" s="592"/>
      <c r="Z13" s="577"/>
      <c r="AA13" s="592"/>
      <c r="AB13" s="577"/>
      <c r="AC13" s="592"/>
      <c r="AD13" s="577"/>
      <c r="AE13" s="592"/>
      <c r="AF13" s="577"/>
      <c r="AG13" s="592"/>
      <c r="AH13" s="577"/>
      <c r="AI13" s="592"/>
      <c r="AJ13" s="577"/>
      <c r="AK13" s="592"/>
      <c r="AL13" s="577"/>
      <c r="AM13" s="592"/>
      <c r="AN13" s="577"/>
      <c r="AO13" s="592"/>
      <c r="AP13" s="577"/>
      <c r="AQ13" s="592"/>
      <c r="AR13" s="577"/>
      <c r="AS13" s="592"/>
      <c r="AT13" s="577"/>
      <c r="AU13" s="592"/>
      <c r="AV13" s="577"/>
      <c r="AW13" s="592"/>
      <c r="AX13" s="577"/>
      <c r="AY13" s="592"/>
      <c r="BA13" s="630"/>
      <c r="BB13" s="95">
        <v>6</v>
      </c>
      <c r="BC13" s="237" t="s">
        <v>390</v>
      </c>
      <c r="BD13" s="81" t="s">
        <v>468</v>
      </c>
      <c r="BE13" s="245" t="str">
        <f t="shared" si="3"/>
        <v>N/A</v>
      </c>
      <c r="BF13" s="246" t="s">
        <v>471</v>
      </c>
      <c r="BG13" s="80" t="str">
        <f t="shared" si="4"/>
        <v>N/A</v>
      </c>
      <c r="BH13" s="246"/>
      <c r="BI13" s="78" t="str">
        <f t="shared" si="5"/>
        <v>N/A</v>
      </c>
      <c r="BJ13" s="246"/>
      <c r="BK13" s="81" t="str">
        <f t="shared" si="0"/>
        <v>N/A</v>
      </c>
      <c r="BL13" s="238"/>
      <c r="BM13" s="81" t="str">
        <f t="shared" si="0"/>
        <v>N/A</v>
      </c>
      <c r="BN13" s="238"/>
      <c r="BO13" s="81" t="str">
        <f t="shared" si="0"/>
        <v>N/A</v>
      </c>
      <c r="BP13" s="238"/>
      <c r="BQ13" s="81" t="str">
        <f t="shared" si="0"/>
        <v>N/A</v>
      </c>
      <c r="BR13" s="238"/>
      <c r="BS13" s="81" t="str">
        <f t="shared" si="0"/>
        <v>N/A</v>
      </c>
      <c r="BT13" s="238"/>
      <c r="BU13" s="81" t="str">
        <f t="shared" si="0"/>
        <v>N/A</v>
      </c>
      <c r="BV13" s="238"/>
      <c r="BW13" s="81" t="str">
        <f t="shared" si="0"/>
        <v>N/A</v>
      </c>
      <c r="BX13" s="238"/>
      <c r="BY13" s="81" t="str">
        <f t="shared" si="0"/>
        <v>N/A</v>
      </c>
      <c r="BZ13" s="238"/>
      <c r="CA13" s="81" t="str">
        <f t="shared" si="1"/>
        <v>N/A</v>
      </c>
      <c r="CB13" s="238"/>
      <c r="CC13" s="78" t="str">
        <f t="shared" si="1"/>
        <v>N/A</v>
      </c>
      <c r="CD13" s="246"/>
      <c r="CE13" s="78" t="str">
        <f t="shared" si="1"/>
        <v>N/A</v>
      </c>
      <c r="CF13" s="246"/>
      <c r="CG13" s="78" t="str">
        <f t="shared" si="1"/>
        <v>N/A</v>
      </c>
      <c r="CH13" s="246"/>
      <c r="CI13" s="78" t="str">
        <f t="shared" si="1"/>
        <v>N/A</v>
      </c>
      <c r="CJ13" s="246"/>
      <c r="CK13" s="78" t="str">
        <f t="shared" si="1"/>
        <v>N/A</v>
      </c>
      <c r="CL13" s="246"/>
      <c r="CM13" s="78" t="str">
        <f t="shared" si="1"/>
        <v>N/A</v>
      </c>
      <c r="CN13" s="246"/>
      <c r="CO13" s="78" t="str">
        <f t="shared" si="1"/>
        <v>N/A</v>
      </c>
      <c r="CP13" s="246"/>
      <c r="CQ13" s="78" t="str">
        <f t="shared" si="2"/>
        <v>N/A</v>
      </c>
      <c r="CR13" s="246"/>
      <c r="CS13" s="78" t="str">
        <f t="shared" si="2"/>
        <v>N/A</v>
      </c>
      <c r="CT13" s="246"/>
      <c r="CU13" s="78" t="str">
        <f t="shared" si="2"/>
        <v>N/A</v>
      </c>
      <c r="CW13" s="213">
        <v>32</v>
      </c>
      <c r="CX13" s="213" t="s">
        <v>11</v>
      </c>
      <c r="CY13" s="213">
        <v>1643000</v>
      </c>
      <c r="CZ13" s="213">
        <v>292000</v>
      </c>
      <c r="DA13" s="213">
        <v>516300</v>
      </c>
      <c r="DB13" s="213">
        <v>876200</v>
      </c>
    </row>
    <row r="14" spans="1:106" s="629" customFormat="1" ht="27.95" customHeight="1" x14ac:dyDescent="0.2">
      <c r="A14" s="628"/>
      <c r="B14" s="224">
        <v>125</v>
      </c>
      <c r="C14" s="247">
        <v>7</v>
      </c>
      <c r="D14" s="248" t="s">
        <v>340</v>
      </c>
      <c r="E14" s="244" t="s">
        <v>302</v>
      </c>
      <c r="F14" s="586"/>
      <c r="G14" s="597"/>
      <c r="H14" s="586"/>
      <c r="I14" s="597"/>
      <c r="J14" s="586"/>
      <c r="K14" s="597"/>
      <c r="L14" s="586"/>
      <c r="M14" s="597"/>
      <c r="N14" s="586"/>
      <c r="O14" s="597"/>
      <c r="P14" s="586"/>
      <c r="Q14" s="597"/>
      <c r="R14" s="586"/>
      <c r="S14" s="597"/>
      <c r="T14" s="586"/>
      <c r="U14" s="597"/>
      <c r="V14" s="586"/>
      <c r="W14" s="597"/>
      <c r="X14" s="586"/>
      <c r="Y14" s="597"/>
      <c r="Z14" s="586"/>
      <c r="AA14" s="597"/>
      <c r="AB14" s="586"/>
      <c r="AC14" s="597"/>
      <c r="AD14" s="586"/>
      <c r="AE14" s="597"/>
      <c r="AF14" s="586"/>
      <c r="AG14" s="597"/>
      <c r="AH14" s="586"/>
      <c r="AI14" s="597"/>
      <c r="AJ14" s="586"/>
      <c r="AK14" s="597"/>
      <c r="AL14" s="586"/>
      <c r="AM14" s="597"/>
      <c r="AN14" s="586"/>
      <c r="AO14" s="597"/>
      <c r="AP14" s="586"/>
      <c r="AQ14" s="597"/>
      <c r="AR14" s="586"/>
      <c r="AS14" s="597"/>
      <c r="AT14" s="586"/>
      <c r="AU14" s="597"/>
      <c r="AV14" s="586"/>
      <c r="AW14" s="597"/>
      <c r="AX14" s="586"/>
      <c r="AY14" s="597"/>
      <c r="BA14" s="630"/>
      <c r="BB14" s="80">
        <v>7</v>
      </c>
      <c r="BC14" s="249" t="s">
        <v>629</v>
      </c>
      <c r="BD14" s="81" t="s">
        <v>468</v>
      </c>
      <c r="BE14" s="245" t="str">
        <f t="shared" si="3"/>
        <v>N/A</v>
      </c>
      <c r="BF14" s="246" t="s">
        <v>471</v>
      </c>
      <c r="BG14" s="80" t="str">
        <f t="shared" si="4"/>
        <v>N/A</v>
      </c>
      <c r="BH14" s="246"/>
      <c r="BI14" s="78" t="str">
        <f t="shared" si="5"/>
        <v>N/A</v>
      </c>
      <c r="BJ14" s="246"/>
      <c r="BK14" s="92" t="str">
        <f t="shared" si="0"/>
        <v>N/A</v>
      </c>
      <c r="BL14" s="250"/>
      <c r="BM14" s="92" t="str">
        <f t="shared" si="0"/>
        <v>N/A</v>
      </c>
      <c r="BN14" s="250"/>
      <c r="BO14" s="92" t="str">
        <f t="shared" si="0"/>
        <v>N/A</v>
      </c>
      <c r="BP14" s="250"/>
      <c r="BQ14" s="92" t="str">
        <f t="shared" si="0"/>
        <v>N/A</v>
      </c>
      <c r="BR14" s="250"/>
      <c r="BS14" s="92" t="str">
        <f t="shared" si="0"/>
        <v>N/A</v>
      </c>
      <c r="BT14" s="250"/>
      <c r="BU14" s="92" t="str">
        <f t="shared" si="0"/>
        <v>N/A</v>
      </c>
      <c r="BV14" s="250"/>
      <c r="BW14" s="92" t="str">
        <f t="shared" si="0"/>
        <v>N/A</v>
      </c>
      <c r="BX14" s="250"/>
      <c r="BY14" s="92" t="str">
        <f t="shared" si="0"/>
        <v>N/A</v>
      </c>
      <c r="BZ14" s="250"/>
      <c r="CA14" s="92" t="str">
        <f t="shared" si="1"/>
        <v>N/A</v>
      </c>
      <c r="CB14" s="246"/>
      <c r="CC14" s="78" t="str">
        <f t="shared" si="1"/>
        <v>N/A</v>
      </c>
      <c r="CD14" s="246"/>
      <c r="CE14" s="78" t="str">
        <f t="shared" si="1"/>
        <v>N/A</v>
      </c>
      <c r="CF14" s="246"/>
      <c r="CG14" s="78" t="str">
        <f t="shared" si="1"/>
        <v>N/A</v>
      </c>
      <c r="CH14" s="246"/>
      <c r="CI14" s="78" t="str">
        <f t="shared" si="1"/>
        <v>N/A</v>
      </c>
      <c r="CJ14" s="246"/>
      <c r="CK14" s="78" t="str">
        <f t="shared" si="1"/>
        <v>N/A</v>
      </c>
      <c r="CL14" s="246"/>
      <c r="CM14" s="78" t="str">
        <f t="shared" si="1"/>
        <v>N/A</v>
      </c>
      <c r="CN14" s="246"/>
      <c r="CO14" s="78" t="str">
        <f t="shared" si="1"/>
        <v>N/A</v>
      </c>
      <c r="CP14" s="246"/>
      <c r="CQ14" s="78" t="str">
        <f t="shared" si="2"/>
        <v>N/A</v>
      </c>
      <c r="CR14" s="246"/>
      <c r="CS14" s="78" t="str">
        <f t="shared" si="2"/>
        <v>N/A</v>
      </c>
      <c r="CT14" s="246"/>
      <c r="CU14" s="78" t="str">
        <f t="shared" si="2"/>
        <v>N/A</v>
      </c>
      <c r="CW14" s="213">
        <v>51</v>
      </c>
      <c r="CX14" s="213" t="s">
        <v>12</v>
      </c>
      <c r="CY14" s="213">
        <v>16710</v>
      </c>
      <c r="CZ14" s="213">
        <v>6859</v>
      </c>
      <c r="DA14" s="213">
        <v>0</v>
      </c>
      <c r="DB14" s="213">
        <v>7769</v>
      </c>
    </row>
    <row r="15" spans="1:106" s="629" customFormat="1" ht="20.25" customHeight="1" x14ac:dyDescent="0.2">
      <c r="A15" s="628"/>
      <c r="B15" s="224">
        <v>126</v>
      </c>
      <c r="C15" s="247">
        <v>8</v>
      </c>
      <c r="D15" s="251" t="s">
        <v>341</v>
      </c>
      <c r="E15" s="244" t="s">
        <v>302</v>
      </c>
      <c r="F15" s="588"/>
      <c r="G15" s="594"/>
      <c r="H15" s="588"/>
      <c r="I15" s="594"/>
      <c r="J15" s="588"/>
      <c r="K15" s="594"/>
      <c r="L15" s="588"/>
      <c r="M15" s="594"/>
      <c r="N15" s="588"/>
      <c r="O15" s="594"/>
      <c r="P15" s="588"/>
      <c r="Q15" s="594"/>
      <c r="R15" s="588"/>
      <c r="S15" s="594"/>
      <c r="T15" s="588"/>
      <c r="U15" s="594"/>
      <c r="V15" s="588"/>
      <c r="W15" s="594"/>
      <c r="X15" s="588"/>
      <c r="Y15" s="594"/>
      <c r="Z15" s="588"/>
      <c r="AA15" s="594"/>
      <c r="AB15" s="588"/>
      <c r="AC15" s="594"/>
      <c r="AD15" s="588"/>
      <c r="AE15" s="594"/>
      <c r="AF15" s="588"/>
      <c r="AG15" s="594"/>
      <c r="AH15" s="588"/>
      <c r="AI15" s="594"/>
      <c r="AJ15" s="588"/>
      <c r="AK15" s="594"/>
      <c r="AL15" s="588"/>
      <c r="AM15" s="594"/>
      <c r="AN15" s="588"/>
      <c r="AO15" s="594"/>
      <c r="AP15" s="588"/>
      <c r="AQ15" s="594"/>
      <c r="AR15" s="588"/>
      <c r="AS15" s="594"/>
      <c r="AT15" s="588"/>
      <c r="AU15" s="594"/>
      <c r="AV15" s="588"/>
      <c r="AW15" s="594"/>
      <c r="AX15" s="588"/>
      <c r="AY15" s="594"/>
      <c r="BA15" s="630"/>
      <c r="BB15" s="95">
        <v>8</v>
      </c>
      <c r="BC15" s="252" t="s">
        <v>486</v>
      </c>
      <c r="BD15" s="81" t="s">
        <v>468</v>
      </c>
      <c r="BE15" s="245" t="str">
        <f t="shared" si="3"/>
        <v>N/A</v>
      </c>
      <c r="BF15" s="246" t="s">
        <v>471</v>
      </c>
      <c r="BG15" s="80" t="str">
        <f t="shared" si="4"/>
        <v>N/A</v>
      </c>
      <c r="BH15" s="238"/>
      <c r="BI15" s="78" t="str">
        <f t="shared" si="5"/>
        <v>N/A</v>
      </c>
      <c r="BJ15" s="246"/>
      <c r="BK15" s="81" t="str">
        <f t="shared" si="0"/>
        <v>N/A</v>
      </c>
      <c r="BL15" s="238"/>
      <c r="BM15" s="81" t="str">
        <f t="shared" si="0"/>
        <v>N/A</v>
      </c>
      <c r="BN15" s="238"/>
      <c r="BO15" s="81" t="str">
        <f t="shared" si="0"/>
        <v>N/A</v>
      </c>
      <c r="BP15" s="238"/>
      <c r="BQ15" s="81" t="str">
        <f t="shared" si="0"/>
        <v>N/A</v>
      </c>
      <c r="BR15" s="238"/>
      <c r="BS15" s="81" t="str">
        <f t="shared" si="0"/>
        <v>N/A</v>
      </c>
      <c r="BT15" s="238"/>
      <c r="BU15" s="81" t="str">
        <f t="shared" si="0"/>
        <v>N/A</v>
      </c>
      <c r="BV15" s="238"/>
      <c r="BW15" s="81" t="str">
        <f t="shared" si="0"/>
        <v>N/A</v>
      </c>
      <c r="BX15" s="238"/>
      <c r="BY15" s="81" t="str">
        <f t="shared" si="0"/>
        <v>N/A</v>
      </c>
      <c r="BZ15" s="238"/>
      <c r="CA15" s="81" t="str">
        <f t="shared" si="1"/>
        <v>N/A</v>
      </c>
      <c r="CB15" s="238"/>
      <c r="CC15" s="78" t="str">
        <f t="shared" si="1"/>
        <v>N/A</v>
      </c>
      <c r="CD15" s="246"/>
      <c r="CE15" s="78" t="str">
        <f t="shared" si="1"/>
        <v>N/A</v>
      </c>
      <c r="CF15" s="246"/>
      <c r="CG15" s="78" t="str">
        <f t="shared" si="1"/>
        <v>N/A</v>
      </c>
      <c r="CH15" s="246"/>
      <c r="CI15" s="78" t="str">
        <f t="shared" si="1"/>
        <v>N/A</v>
      </c>
      <c r="CJ15" s="246"/>
      <c r="CK15" s="78" t="str">
        <f t="shared" si="1"/>
        <v>N/A</v>
      </c>
      <c r="CL15" s="246"/>
      <c r="CM15" s="78" t="str">
        <f t="shared" si="1"/>
        <v>N/A</v>
      </c>
      <c r="CN15" s="246"/>
      <c r="CO15" s="78" t="str">
        <f t="shared" si="1"/>
        <v>N/A</v>
      </c>
      <c r="CP15" s="246"/>
      <c r="CQ15" s="78" t="str">
        <f t="shared" si="2"/>
        <v>N/A</v>
      </c>
      <c r="CR15" s="246"/>
      <c r="CS15" s="78" t="str">
        <f t="shared" si="2"/>
        <v>N/A</v>
      </c>
      <c r="CT15" s="246"/>
      <c r="CU15" s="78" t="str">
        <f t="shared" si="2"/>
        <v>N/A</v>
      </c>
      <c r="CW15" s="213">
        <v>31</v>
      </c>
      <c r="CX15" s="213" t="s">
        <v>13</v>
      </c>
      <c r="CY15" s="213">
        <v>38710</v>
      </c>
      <c r="CZ15" s="213">
        <v>8115</v>
      </c>
      <c r="DA15" s="213">
        <v>197600</v>
      </c>
      <c r="DB15" s="213">
        <v>34680</v>
      </c>
    </row>
    <row r="16" spans="1:106" s="629" customFormat="1" ht="27.95" customHeight="1" x14ac:dyDescent="0.2">
      <c r="A16" s="223"/>
      <c r="B16" s="224">
        <v>128</v>
      </c>
      <c r="C16" s="253">
        <v>9</v>
      </c>
      <c r="D16" s="254" t="s">
        <v>223</v>
      </c>
      <c r="E16" s="253" t="s">
        <v>302</v>
      </c>
      <c r="F16" s="583"/>
      <c r="G16" s="595"/>
      <c r="H16" s="583"/>
      <c r="I16" s="595"/>
      <c r="J16" s="583"/>
      <c r="K16" s="595"/>
      <c r="L16" s="583"/>
      <c r="M16" s="595"/>
      <c r="N16" s="583"/>
      <c r="O16" s="595"/>
      <c r="P16" s="583"/>
      <c r="Q16" s="595"/>
      <c r="R16" s="583"/>
      <c r="S16" s="595"/>
      <c r="T16" s="583"/>
      <c r="U16" s="595"/>
      <c r="V16" s="583"/>
      <c r="W16" s="595"/>
      <c r="X16" s="583"/>
      <c r="Y16" s="595"/>
      <c r="Z16" s="583"/>
      <c r="AA16" s="595"/>
      <c r="AB16" s="583"/>
      <c r="AC16" s="595"/>
      <c r="AD16" s="583"/>
      <c r="AE16" s="595"/>
      <c r="AF16" s="583"/>
      <c r="AG16" s="595"/>
      <c r="AH16" s="583"/>
      <c r="AI16" s="595"/>
      <c r="AJ16" s="583"/>
      <c r="AK16" s="595"/>
      <c r="AL16" s="583"/>
      <c r="AM16" s="595"/>
      <c r="AN16" s="583"/>
      <c r="AO16" s="595"/>
      <c r="AP16" s="583"/>
      <c r="AQ16" s="595"/>
      <c r="AR16" s="583"/>
      <c r="AS16" s="595"/>
      <c r="AT16" s="583"/>
      <c r="AU16" s="595"/>
      <c r="AV16" s="583"/>
      <c r="AW16" s="595"/>
      <c r="AX16" s="583"/>
      <c r="AY16" s="595"/>
      <c r="BA16" s="630"/>
      <c r="BB16" s="256">
        <v>9</v>
      </c>
      <c r="BC16" s="252" t="s">
        <v>472</v>
      </c>
      <c r="BD16" s="81" t="s">
        <v>468</v>
      </c>
      <c r="BE16" s="245" t="str">
        <f t="shared" si="3"/>
        <v>N/A</v>
      </c>
      <c r="BF16" s="246" t="s">
        <v>471</v>
      </c>
      <c r="BG16" s="256" t="str">
        <f t="shared" si="4"/>
        <v>N/A</v>
      </c>
      <c r="BH16" s="250"/>
      <c r="BI16" s="78" t="str">
        <f t="shared" si="5"/>
        <v>N/A</v>
      </c>
      <c r="BJ16" s="246"/>
      <c r="BK16" s="92" t="str">
        <f t="shared" si="0"/>
        <v>N/A</v>
      </c>
      <c r="BL16" s="250"/>
      <c r="BM16" s="92" t="str">
        <f t="shared" si="0"/>
        <v>N/A</v>
      </c>
      <c r="BN16" s="250"/>
      <c r="BO16" s="92" t="str">
        <f t="shared" si="0"/>
        <v>N/A</v>
      </c>
      <c r="BP16" s="250"/>
      <c r="BQ16" s="92" t="str">
        <f t="shared" si="0"/>
        <v>N/A</v>
      </c>
      <c r="BR16" s="250"/>
      <c r="BS16" s="92" t="str">
        <f t="shared" si="0"/>
        <v>N/A</v>
      </c>
      <c r="BT16" s="250"/>
      <c r="BU16" s="92" t="str">
        <f t="shared" si="0"/>
        <v>N/A</v>
      </c>
      <c r="BV16" s="250"/>
      <c r="BW16" s="92" t="str">
        <f t="shared" si="0"/>
        <v>N/A</v>
      </c>
      <c r="BX16" s="250"/>
      <c r="BY16" s="92" t="str">
        <f t="shared" si="0"/>
        <v>N/A</v>
      </c>
      <c r="BZ16" s="250"/>
      <c r="CA16" s="92" t="str">
        <f t="shared" si="1"/>
        <v>N/A</v>
      </c>
      <c r="CB16" s="250"/>
      <c r="CC16" s="78" t="str">
        <f t="shared" si="1"/>
        <v>N/A</v>
      </c>
      <c r="CD16" s="246"/>
      <c r="CE16" s="78" t="str">
        <f t="shared" si="1"/>
        <v>N/A</v>
      </c>
      <c r="CF16" s="246"/>
      <c r="CG16" s="78" t="str">
        <f t="shared" si="1"/>
        <v>N/A</v>
      </c>
      <c r="CH16" s="246"/>
      <c r="CI16" s="78" t="str">
        <f t="shared" si="1"/>
        <v>N/A</v>
      </c>
      <c r="CJ16" s="246"/>
      <c r="CK16" s="78" t="str">
        <f t="shared" si="1"/>
        <v>N/A</v>
      </c>
      <c r="CL16" s="246"/>
      <c r="CM16" s="78" t="str">
        <f t="shared" si="1"/>
        <v>N/A</v>
      </c>
      <c r="CN16" s="246"/>
      <c r="CO16" s="78" t="str">
        <f t="shared" si="1"/>
        <v>N/A</v>
      </c>
      <c r="CP16" s="246"/>
      <c r="CQ16" s="78" t="str">
        <f t="shared" si="2"/>
        <v>N/A</v>
      </c>
      <c r="CR16" s="246"/>
      <c r="CS16" s="78" t="str">
        <f t="shared" si="2"/>
        <v>N/A</v>
      </c>
      <c r="CT16" s="246"/>
      <c r="CU16" s="78" t="str">
        <f t="shared" si="2"/>
        <v>N/A</v>
      </c>
      <c r="CW16" s="213">
        <v>44</v>
      </c>
      <c r="CX16" s="213" t="s">
        <v>14</v>
      </c>
      <c r="CY16" s="213">
        <v>17930</v>
      </c>
      <c r="CZ16" s="213">
        <v>700</v>
      </c>
      <c r="DA16" s="213">
        <v>0</v>
      </c>
      <c r="DB16" s="213">
        <v>700</v>
      </c>
    </row>
    <row r="17" spans="1:108" s="234" customFormat="1" ht="6.75" customHeight="1" x14ac:dyDescent="0.2">
      <c r="A17" s="175"/>
      <c r="B17" s="224"/>
      <c r="C17" s="257"/>
      <c r="D17" s="258"/>
      <c r="E17" s="257"/>
      <c r="G17" s="257"/>
      <c r="AZ17" s="228"/>
      <c r="BA17" s="229"/>
      <c r="BB17" s="93"/>
      <c r="BC17" s="259"/>
      <c r="BD17" s="79"/>
      <c r="BE17" s="93"/>
      <c r="BF17" s="260"/>
      <c r="BG17" s="93"/>
      <c r="BH17" s="260"/>
      <c r="BI17" s="79"/>
      <c r="BJ17" s="260"/>
      <c r="BK17" s="260"/>
      <c r="BL17" s="260"/>
      <c r="BM17" s="260"/>
      <c r="BN17" s="260"/>
      <c r="BO17" s="260"/>
      <c r="BP17" s="260"/>
      <c r="BQ17" s="79"/>
      <c r="BR17" s="260"/>
      <c r="BS17" s="79"/>
      <c r="BT17" s="260"/>
      <c r="BU17" s="79"/>
      <c r="BV17" s="260"/>
      <c r="BW17" s="79"/>
      <c r="BX17" s="260"/>
      <c r="BY17" s="79"/>
      <c r="BZ17" s="260"/>
      <c r="CA17" s="79"/>
      <c r="CB17" s="260"/>
      <c r="CC17" s="79"/>
      <c r="CD17" s="260"/>
      <c r="CE17" s="79"/>
      <c r="CF17" s="260"/>
      <c r="CG17" s="79"/>
      <c r="CH17" s="260"/>
      <c r="CI17" s="79"/>
      <c r="CJ17" s="260"/>
      <c r="CK17" s="79"/>
      <c r="CL17" s="260"/>
      <c r="CM17" s="79"/>
      <c r="CN17" s="260"/>
      <c r="CO17" s="79"/>
      <c r="CP17" s="260"/>
      <c r="CQ17" s="79"/>
      <c r="CR17" s="260"/>
      <c r="CS17" s="79"/>
      <c r="CT17" s="260"/>
      <c r="CU17" s="79"/>
      <c r="CV17" s="629"/>
      <c r="CW17" s="213">
        <v>48</v>
      </c>
      <c r="CX17" s="213" t="s">
        <v>15</v>
      </c>
      <c r="CY17" s="213">
        <v>63.9</v>
      </c>
      <c r="CZ17" s="213">
        <v>4</v>
      </c>
      <c r="DA17" s="213">
        <v>112</v>
      </c>
      <c r="DB17" s="213">
        <v>116</v>
      </c>
    </row>
    <row r="18" spans="1:108" ht="10.5" customHeight="1" x14ac:dyDescent="0.2">
      <c r="AU18" s="266"/>
      <c r="CV18" s="234"/>
      <c r="CW18" s="213">
        <v>50</v>
      </c>
      <c r="CX18" s="213" t="s">
        <v>16</v>
      </c>
      <c r="CY18" s="213">
        <v>395800</v>
      </c>
      <c r="CZ18" s="213">
        <v>105000</v>
      </c>
      <c r="DA18" s="213">
        <v>1122032</v>
      </c>
      <c r="DB18" s="213">
        <v>1227000</v>
      </c>
    </row>
    <row r="19" spans="1:108" ht="15.75" customHeight="1" x14ac:dyDescent="0.25">
      <c r="C19" s="267" t="s">
        <v>602</v>
      </c>
      <c r="D19" s="268"/>
      <c r="E19" s="269"/>
      <c r="F19" s="267"/>
      <c r="G19" s="270"/>
      <c r="H19" s="271"/>
      <c r="I19" s="272"/>
      <c r="J19" s="271"/>
      <c r="K19" s="272"/>
      <c r="L19" s="272"/>
      <c r="M19" s="272"/>
      <c r="N19" s="272"/>
      <c r="O19" s="272"/>
      <c r="P19" s="272"/>
      <c r="Q19" s="272"/>
      <c r="R19" s="271"/>
      <c r="S19" s="272"/>
      <c r="T19" s="271"/>
      <c r="U19" s="272"/>
      <c r="V19" s="271"/>
      <c r="W19" s="270"/>
      <c r="X19" s="271"/>
      <c r="Y19" s="270"/>
      <c r="Z19" s="271"/>
      <c r="AA19" s="270"/>
      <c r="AB19" s="271"/>
      <c r="AC19" s="270"/>
      <c r="AD19" s="271"/>
      <c r="AE19" s="270"/>
      <c r="AF19" s="271"/>
      <c r="AG19" s="270"/>
      <c r="AH19" s="271"/>
      <c r="AI19" s="272"/>
      <c r="AJ19" s="271"/>
      <c r="AK19" s="270"/>
      <c r="AL19" s="271"/>
      <c r="AM19" s="270"/>
      <c r="AN19" s="271"/>
      <c r="AO19" s="270"/>
      <c r="AP19" s="270"/>
      <c r="AQ19" s="270"/>
      <c r="AR19" s="270"/>
      <c r="AS19" s="270"/>
      <c r="AT19" s="271"/>
      <c r="AU19" s="197"/>
      <c r="AV19" s="186"/>
      <c r="AW19" s="186"/>
      <c r="AX19" s="186"/>
      <c r="AY19" s="186"/>
      <c r="BB19" s="212" t="s">
        <v>630</v>
      </c>
      <c r="CW19" s="213">
        <v>52</v>
      </c>
      <c r="CX19" s="213" t="s">
        <v>17</v>
      </c>
      <c r="CY19" s="213">
        <v>611.5</v>
      </c>
      <c r="CZ19" s="213">
        <v>80</v>
      </c>
      <c r="DA19" s="213">
        <v>0</v>
      </c>
      <c r="DB19" s="213">
        <v>80</v>
      </c>
    </row>
    <row r="20" spans="1:108" ht="15" customHeight="1" x14ac:dyDescent="0.2">
      <c r="C20" s="273" t="s">
        <v>490</v>
      </c>
      <c r="D20" s="730" t="s">
        <v>303</v>
      </c>
      <c r="E20" s="730"/>
      <c r="F20" s="73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730"/>
      <c r="AH20" s="730"/>
      <c r="AI20" s="730"/>
      <c r="AJ20" s="730"/>
      <c r="AK20" s="730"/>
      <c r="AL20" s="730"/>
      <c r="AM20" s="730"/>
      <c r="AN20" s="730"/>
      <c r="AO20" s="730"/>
      <c r="AP20" s="730"/>
      <c r="AQ20" s="730"/>
      <c r="AR20" s="730"/>
      <c r="AS20" s="730"/>
      <c r="AT20" s="730"/>
      <c r="AU20" s="730"/>
      <c r="AV20" s="730"/>
      <c r="AW20" s="730"/>
      <c r="AX20" s="730"/>
      <c r="AY20" s="730"/>
      <c r="BB20" s="217" t="s">
        <v>600</v>
      </c>
      <c r="BC20" s="217" t="s">
        <v>601</v>
      </c>
      <c r="BD20" s="218" t="s">
        <v>603</v>
      </c>
      <c r="BE20" s="217" t="s">
        <v>3</v>
      </c>
      <c r="BF20" s="219">
        <v>1990</v>
      </c>
      <c r="BG20" s="218">
        <v>1995</v>
      </c>
      <c r="BH20" s="219"/>
      <c r="BI20" s="218">
        <v>1996</v>
      </c>
      <c r="BJ20" s="613"/>
      <c r="BK20" s="614">
        <v>1997</v>
      </c>
      <c r="BL20" s="613"/>
      <c r="BM20" s="614">
        <v>1998</v>
      </c>
      <c r="BN20" s="613"/>
      <c r="BO20" s="614">
        <v>1999</v>
      </c>
      <c r="BP20" s="613"/>
      <c r="BQ20" s="614">
        <v>2000</v>
      </c>
      <c r="BR20" s="613"/>
      <c r="BS20" s="614">
        <v>2001</v>
      </c>
      <c r="BT20" s="613"/>
      <c r="BU20" s="614">
        <v>2002</v>
      </c>
      <c r="BV20" s="613"/>
      <c r="BW20" s="614">
        <v>2003</v>
      </c>
      <c r="BX20" s="613"/>
      <c r="BY20" s="614">
        <v>2004</v>
      </c>
      <c r="BZ20" s="613"/>
      <c r="CA20" s="614">
        <v>2005</v>
      </c>
      <c r="CB20" s="613"/>
      <c r="CC20" s="614">
        <v>2006</v>
      </c>
      <c r="CD20" s="613"/>
      <c r="CE20" s="614">
        <v>2007</v>
      </c>
      <c r="CF20" s="613"/>
      <c r="CG20" s="614">
        <v>2008</v>
      </c>
      <c r="CH20" s="613"/>
      <c r="CI20" s="614">
        <v>2009</v>
      </c>
      <c r="CJ20" s="613"/>
      <c r="CK20" s="614">
        <v>2010</v>
      </c>
      <c r="CL20" s="613"/>
      <c r="CM20" s="614">
        <v>2011</v>
      </c>
      <c r="CN20" s="613"/>
      <c r="CO20" s="614">
        <v>2012</v>
      </c>
      <c r="CP20" s="615"/>
      <c r="CQ20" s="614">
        <v>2013</v>
      </c>
      <c r="CR20" s="613"/>
      <c r="CS20" s="614">
        <v>2014</v>
      </c>
      <c r="CT20" s="613"/>
      <c r="CU20" s="614">
        <v>2015</v>
      </c>
      <c r="CW20" s="213">
        <v>112</v>
      </c>
      <c r="CX20" s="213" t="s">
        <v>18</v>
      </c>
      <c r="CY20" s="213">
        <v>128300</v>
      </c>
      <c r="CZ20" s="213">
        <v>34000</v>
      </c>
      <c r="DA20" s="213">
        <v>23900</v>
      </c>
      <c r="DB20" s="213">
        <v>57900</v>
      </c>
    </row>
    <row r="21" spans="1:108" ht="22.15" customHeight="1" x14ac:dyDescent="0.2">
      <c r="A21" s="275"/>
      <c r="C21" s="273" t="s">
        <v>490</v>
      </c>
      <c r="D21" s="730" t="s">
        <v>304</v>
      </c>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M21" s="730"/>
      <c r="AN21" s="730"/>
      <c r="AO21" s="730"/>
      <c r="AP21" s="730"/>
      <c r="AQ21" s="730"/>
      <c r="AR21" s="730"/>
      <c r="AS21" s="730"/>
      <c r="AT21" s="730"/>
      <c r="AU21" s="730"/>
      <c r="AV21" s="730"/>
      <c r="AW21" s="730"/>
      <c r="AX21" s="730"/>
      <c r="AY21" s="730"/>
      <c r="BB21" s="95">
        <v>3</v>
      </c>
      <c r="BC21" s="237" t="s">
        <v>420</v>
      </c>
      <c r="BD21" s="80" t="s">
        <v>468</v>
      </c>
      <c r="BE21" s="80">
        <f>F10</f>
        <v>22000</v>
      </c>
      <c r="BF21" s="80">
        <f>H10</f>
        <v>0</v>
      </c>
      <c r="BG21" s="80">
        <f>J10</f>
        <v>57130</v>
      </c>
      <c r="BH21" s="80"/>
      <c r="BI21" s="80">
        <f>L10</f>
        <v>0</v>
      </c>
      <c r="BJ21" s="80"/>
      <c r="BK21" s="80">
        <f>N10</f>
        <v>0</v>
      </c>
      <c r="BL21" s="80"/>
      <c r="BM21" s="80">
        <f>P10</f>
        <v>0</v>
      </c>
      <c r="BN21" s="80"/>
      <c r="BO21" s="80">
        <f>R10</f>
        <v>41325</v>
      </c>
      <c r="BP21" s="80"/>
      <c r="BQ21" s="80">
        <f>T10</f>
        <v>0</v>
      </c>
      <c r="BR21" s="80"/>
      <c r="BS21" s="80">
        <f>V10</f>
        <v>0</v>
      </c>
      <c r="BT21" s="80"/>
      <c r="BU21" s="80">
        <f>X10</f>
        <v>0</v>
      </c>
      <c r="BV21" s="80"/>
      <c r="BW21" s="80">
        <f>Z10</f>
        <v>0</v>
      </c>
      <c r="BX21" s="80"/>
      <c r="BY21" s="80">
        <f>AB10</f>
        <v>0</v>
      </c>
      <c r="BZ21" s="80"/>
      <c r="CA21" s="80">
        <f>AD10</f>
        <v>0</v>
      </c>
      <c r="CB21" s="80"/>
      <c r="CC21" s="80">
        <f>AF10</f>
        <v>0</v>
      </c>
      <c r="CD21" s="80"/>
      <c r="CE21" s="80">
        <f>AH10</f>
        <v>22000</v>
      </c>
      <c r="CF21" s="80"/>
      <c r="CG21" s="80">
        <f>AJ10</f>
        <v>44000</v>
      </c>
      <c r="CH21" s="80"/>
      <c r="CI21" s="80">
        <f>AL10</f>
        <v>39000</v>
      </c>
      <c r="CJ21" s="80"/>
      <c r="CK21" s="80">
        <f>AN10</f>
        <v>46000</v>
      </c>
      <c r="CL21" s="80"/>
      <c r="CM21" s="80">
        <f>AP10</f>
        <v>24000</v>
      </c>
      <c r="CN21" s="80"/>
      <c r="CO21" s="80">
        <f>AR10</f>
        <v>11500</v>
      </c>
      <c r="CP21" s="80"/>
      <c r="CQ21" s="80">
        <f>AT10</f>
        <v>0</v>
      </c>
      <c r="CR21" s="238"/>
      <c r="CS21" s="80">
        <f>AV10</f>
        <v>0</v>
      </c>
      <c r="CT21" s="80"/>
      <c r="CU21" s="80">
        <f>AX10</f>
        <v>0</v>
      </c>
      <c r="CW21" s="213">
        <v>84</v>
      </c>
      <c r="CX21" s="213" t="s">
        <v>19</v>
      </c>
      <c r="CY21" s="213">
        <v>39160</v>
      </c>
      <c r="CZ21" s="213">
        <v>15260</v>
      </c>
      <c r="DA21" s="213">
        <v>6042</v>
      </c>
      <c r="DB21" s="213">
        <v>21730</v>
      </c>
      <c r="DC21" s="276"/>
      <c r="DD21" s="276"/>
    </row>
    <row r="22" spans="1:108" ht="25.15" customHeight="1" x14ac:dyDescent="0.2">
      <c r="A22" s="275"/>
      <c r="B22" s="275"/>
      <c r="C22" s="273" t="s">
        <v>490</v>
      </c>
      <c r="D22" s="739" t="s">
        <v>181</v>
      </c>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278"/>
      <c r="BA22" s="279"/>
      <c r="BB22" s="280">
        <v>10</v>
      </c>
      <c r="BC22" s="281" t="s">
        <v>435</v>
      </c>
      <c r="BD22" s="80" t="s">
        <v>468</v>
      </c>
      <c r="BE22" s="80">
        <f>(F8-F9)</f>
        <v>22000</v>
      </c>
      <c r="BF22" s="80">
        <f>(H8-H9)</f>
        <v>0</v>
      </c>
      <c r="BG22" s="80">
        <f>(J8-J9)</f>
        <v>57130</v>
      </c>
      <c r="BH22" s="80"/>
      <c r="BI22" s="80">
        <f>(L8-L9)</f>
        <v>0</v>
      </c>
      <c r="BJ22" s="80"/>
      <c r="BK22" s="80">
        <f>(N8-N9)</f>
        <v>0</v>
      </c>
      <c r="BL22" s="80"/>
      <c r="BM22" s="80">
        <f>(P8-P9)</f>
        <v>0</v>
      </c>
      <c r="BN22" s="80"/>
      <c r="BO22" s="80">
        <f>(R8-R9)</f>
        <v>41325</v>
      </c>
      <c r="BP22" s="80"/>
      <c r="BQ22" s="80">
        <f>(T8-T9)</f>
        <v>0</v>
      </c>
      <c r="BR22" s="80"/>
      <c r="BS22" s="80">
        <f>(V8-V9)</f>
        <v>0</v>
      </c>
      <c r="BT22" s="80"/>
      <c r="BU22" s="80">
        <f>(X8-X9)</f>
        <v>0</v>
      </c>
      <c r="BV22" s="80"/>
      <c r="BW22" s="80">
        <f>(Z8-Z9)</f>
        <v>0</v>
      </c>
      <c r="BX22" s="80"/>
      <c r="BY22" s="80">
        <f>(AB8-AB9)</f>
        <v>0</v>
      </c>
      <c r="BZ22" s="80"/>
      <c r="CA22" s="80">
        <f>(AD8-AD9)</f>
        <v>0</v>
      </c>
      <c r="CB22" s="80"/>
      <c r="CC22" s="80">
        <f>(AF8-AF9)</f>
        <v>0</v>
      </c>
      <c r="CD22" s="80"/>
      <c r="CE22" s="80">
        <f>(AH8-AH9)</f>
        <v>22000</v>
      </c>
      <c r="CF22" s="80"/>
      <c r="CG22" s="80">
        <f>(AJ8-AJ9)</f>
        <v>44000</v>
      </c>
      <c r="CH22" s="80"/>
      <c r="CI22" s="80">
        <f>(AL8-AL9)</f>
        <v>39000</v>
      </c>
      <c r="CJ22" s="80"/>
      <c r="CK22" s="80">
        <f>(AN8-AN9)</f>
        <v>46000</v>
      </c>
      <c r="CL22" s="80"/>
      <c r="CM22" s="80">
        <f>(AP8-AP9)</f>
        <v>24000</v>
      </c>
      <c r="CN22" s="80"/>
      <c r="CO22" s="80">
        <f>(AR8-AR9)</f>
        <v>11500</v>
      </c>
      <c r="CP22" s="80"/>
      <c r="CQ22" s="80">
        <f>(AT8-AT9)</f>
        <v>0</v>
      </c>
      <c r="CR22" s="238"/>
      <c r="CS22" s="80">
        <f>(AV8-AV9)</f>
        <v>0</v>
      </c>
      <c r="CT22" s="80"/>
      <c r="CU22" s="80">
        <f>(AX8-AX9)</f>
        <v>0</v>
      </c>
      <c r="CV22" s="276"/>
      <c r="CW22" s="213">
        <v>204</v>
      </c>
      <c r="CX22" s="213" t="s">
        <v>20</v>
      </c>
      <c r="CY22" s="213">
        <v>119200</v>
      </c>
      <c r="CZ22" s="213">
        <v>10300</v>
      </c>
      <c r="DA22" s="213">
        <v>0</v>
      </c>
      <c r="DB22" s="213">
        <v>26390</v>
      </c>
      <c r="DC22" s="276"/>
      <c r="DD22" s="276"/>
    </row>
    <row r="23" spans="1:108" ht="22.5" customHeight="1" x14ac:dyDescent="0.2">
      <c r="A23" s="275"/>
      <c r="B23" s="275"/>
      <c r="C23" s="273" t="s">
        <v>490</v>
      </c>
      <c r="D23" s="730" t="s">
        <v>305</v>
      </c>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730"/>
      <c r="AZ23" s="282"/>
      <c r="BA23" s="283"/>
      <c r="BB23" s="284" t="s">
        <v>494</v>
      </c>
      <c r="BC23" s="281" t="s">
        <v>560</v>
      </c>
      <c r="BD23" s="80"/>
      <c r="BE23" s="80" t="str">
        <f>IF(OR(ISBLANK(F8),ISBLANK(F9),ISBLANK(F10)),"N/A",IF((BE21=BE22),"ok","&lt;&gt;"))</f>
        <v>ok</v>
      </c>
      <c r="BF23" s="80" t="str">
        <f>IF(OR(ISBLANK(H8),ISBLANK(H9),ISBLANK(H10)),"N/A",IF((BF21=BF22),"ok","&lt;&gt;"))</f>
        <v>N/A</v>
      </c>
      <c r="BG23" s="80" t="str">
        <f>IF(OR(ISBLANK(P8),ISBLANK(P9),ISBLANK(P10)),"N/A",IF((BG21=BG22),"ok","&lt;&gt;"))</f>
        <v>N/A</v>
      </c>
      <c r="BH23" s="80"/>
      <c r="BI23" s="80" t="str">
        <f>IF(OR(ISBLANK(L8),ISBLANK(L9),ISBLANK(L10)),"N/A",IF((BI21=BI22),"ok","&lt;&gt;"))</f>
        <v>N/A</v>
      </c>
      <c r="BJ23" s="80"/>
      <c r="BK23" s="80" t="str">
        <f>IF(OR(ISBLANK(Q8),ISBLANK(Q9),ISBLANK(Q10)),"N/A",IF((BK21=BK22),"ok","&lt;&gt;"))</f>
        <v>N/A</v>
      </c>
      <c r="BL23" s="80"/>
      <c r="BM23" s="80" t="str">
        <f>IF(OR(ISBLANK(S8),ISBLANK(S9),ISBLANK(S10)),"N/A",IF((BM21=BM22),"ok","&lt;&gt;"))</f>
        <v>N/A</v>
      </c>
      <c r="BN23" s="80"/>
      <c r="BO23" s="80" t="str">
        <f>IF(OR(ISBLANK(R8),ISBLANK(R9),ISBLANK(R10)),"N/A",IF((BO21=BO22),"ok","&lt;&gt;"))</f>
        <v>ok</v>
      </c>
      <c r="BP23" s="80"/>
      <c r="BQ23" s="80" t="str">
        <f>IF(OR(ISBLANK(T8),ISBLANK(T9),ISBLANK(T10)),"N/A",IF((BQ21=BQ22),"ok","&lt;&gt;"))</f>
        <v>N/A</v>
      </c>
      <c r="BR23" s="80"/>
      <c r="BS23" s="80" t="str">
        <f>IF(OR(ISBLANK(V8),ISBLANK(V9),ISBLANK(V10)),"N/A",IF((BS21=BS22),"ok","&lt;&gt;"))</f>
        <v>N/A</v>
      </c>
      <c r="BT23" s="80"/>
      <c r="BU23" s="80" t="str">
        <f>IF(OR(ISBLANK(X8),ISBLANK(X9),ISBLANK(X10)),"N/A",IF((BU21=BU22),"ok","&lt;&gt;"))</f>
        <v>N/A</v>
      </c>
      <c r="BV23" s="80"/>
      <c r="BW23" s="80" t="str">
        <f>IF(OR(ISBLANK(Z8),ISBLANK(Z9),ISBLANK(Z10)),"N/A",IF((BW21=BW22),"ok","&lt;&gt;"))</f>
        <v>N/A</v>
      </c>
      <c r="BX23" s="80"/>
      <c r="BY23" s="80" t="str">
        <f>IF(OR(ISBLANK(AB8),ISBLANK(AB9),ISBLANK(AB10)),"N/A",IF((BY21=BY22),"ok","&lt;&gt;"))</f>
        <v>N/A</v>
      </c>
      <c r="BZ23" s="80"/>
      <c r="CA23" s="80" t="str">
        <f>IF(OR(ISBLANK(AD8),ISBLANK(AD9),ISBLANK(AD10)),"N/A",IF((CA21=CA22),"ok","&lt;&gt;"))</f>
        <v>N/A</v>
      </c>
      <c r="CB23" s="80"/>
      <c r="CC23" s="80" t="str">
        <f>IF(OR(ISBLANK(AF8),ISBLANK(AF9),ISBLANK(AF10)),"N/A",IF((CC21=CC22),"ok","&lt;&gt;"))</f>
        <v>N/A</v>
      </c>
      <c r="CD23" s="80"/>
      <c r="CE23" s="80" t="str">
        <f>IF(OR(ISBLANK(AH8),ISBLANK(AH9),ISBLANK(AH10)),"N/A",IF((CE21=CE22),"ok","&lt;&gt;"))</f>
        <v>ok</v>
      </c>
      <c r="CF23" s="80"/>
      <c r="CG23" s="80" t="str">
        <f>IF(OR(ISBLANK(AJ8),ISBLANK(AJ9),ISBLANK(AJ10)),"N/A",IF((CG21=CG22),"ok","&lt;&gt;"))</f>
        <v>ok</v>
      </c>
      <c r="CH23" s="80"/>
      <c r="CI23" s="80" t="str">
        <f>IF(OR(ISBLANK(AL8),ISBLANK(AL9),ISBLANK(AL10)),"N/A",IF((CI21=CI22),"ok","&lt;&gt;"))</f>
        <v>ok</v>
      </c>
      <c r="CJ23" s="80"/>
      <c r="CK23" s="80" t="str">
        <f>IF(OR(ISBLANK(AN8),ISBLANK(AN9),ISBLANK(AN10)),"N/A",IF((CK21=CK22),"ok","&lt;&gt;"))</f>
        <v>ok</v>
      </c>
      <c r="CL23" s="80"/>
      <c r="CM23" s="80" t="str">
        <f>IF(OR(ISBLANK(AP8),ISBLANK(AP9),ISBLANK(AP10)),"N/A",IF((CM21=CM22),"ok","&lt;&gt;"))</f>
        <v>ok</v>
      </c>
      <c r="CN23" s="80"/>
      <c r="CO23" s="80" t="str">
        <f>IF(OR(ISBLANK(AR8),ISBLANK(AR9),ISBLANK(AR10)),"N/A",IF((CO21=CO22),"ok","&lt;&gt;"))</f>
        <v>ok</v>
      </c>
      <c r="CP23" s="80"/>
      <c r="CQ23" s="80" t="str">
        <f>IF(OR(ISBLANK(AT8),ISBLANK(AT9),ISBLANK(AT10)),"N/A",IF((CQ21=CQ22),"ok","&lt;&gt;"))</f>
        <v>N/A</v>
      </c>
      <c r="CR23" s="238"/>
      <c r="CS23" s="80" t="str">
        <f>IF(OR(ISBLANK(AV8),ISBLANK(AV9),ISBLANK(AV10)),"N/A",IF((CS21=CS22),"ok","&lt;&gt;"))</f>
        <v>N/A</v>
      </c>
      <c r="CT23" s="80"/>
      <c r="CU23" s="80" t="str">
        <f>IF(OR(ISBLANK(AX8),ISBLANK(AX9),ISBLANK(AX10)),"N/A",IF((CU21=CU22),"ok","&lt;&gt;"))</f>
        <v>N/A</v>
      </c>
      <c r="CV23" s="276"/>
      <c r="CW23" s="213">
        <v>60</v>
      </c>
      <c r="CX23" s="213" t="s">
        <v>21</v>
      </c>
      <c r="CY23" s="213"/>
      <c r="CZ23" s="213"/>
      <c r="DA23" s="213"/>
      <c r="DB23" s="213"/>
      <c r="DC23" s="276"/>
      <c r="DD23" s="276"/>
    </row>
    <row r="24" spans="1:108" ht="24" customHeight="1" x14ac:dyDescent="0.2">
      <c r="A24" s="275"/>
      <c r="B24" s="275"/>
      <c r="C24" s="273" t="s">
        <v>490</v>
      </c>
      <c r="D24" s="739" t="s">
        <v>627</v>
      </c>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278"/>
      <c r="BA24" s="279"/>
      <c r="BB24" s="95">
        <v>5</v>
      </c>
      <c r="BC24" s="243" t="s">
        <v>419</v>
      </c>
      <c r="BD24" s="80" t="s">
        <v>468</v>
      </c>
      <c r="BE24" s="80">
        <f>F12</f>
        <v>22000</v>
      </c>
      <c r="BF24" s="80">
        <f>H12</f>
        <v>0</v>
      </c>
      <c r="BG24" s="80">
        <f>P12</f>
        <v>0</v>
      </c>
      <c r="BH24" s="80"/>
      <c r="BI24" s="80">
        <f>L12</f>
        <v>0</v>
      </c>
      <c r="BJ24" s="80"/>
      <c r="BK24" s="80">
        <f>Q12</f>
        <v>0</v>
      </c>
      <c r="BL24" s="80"/>
      <c r="BM24" s="80">
        <f>S12</f>
        <v>0</v>
      </c>
      <c r="BN24" s="80"/>
      <c r="BO24" s="80">
        <f>R12</f>
        <v>41325</v>
      </c>
      <c r="BP24" s="80"/>
      <c r="BQ24" s="80">
        <f>T12</f>
        <v>0</v>
      </c>
      <c r="BR24" s="80"/>
      <c r="BS24" s="80">
        <f>V12</f>
        <v>0</v>
      </c>
      <c r="BT24" s="80"/>
      <c r="BU24" s="80">
        <f>X12</f>
        <v>0</v>
      </c>
      <c r="BV24" s="80"/>
      <c r="BW24" s="80">
        <f>Z12</f>
        <v>0</v>
      </c>
      <c r="BX24" s="80"/>
      <c r="BY24" s="80">
        <f>AB12</f>
        <v>29000</v>
      </c>
      <c r="BZ24" s="80"/>
      <c r="CA24" s="80">
        <f>AD12</f>
        <v>0</v>
      </c>
      <c r="CB24" s="80"/>
      <c r="CC24" s="80">
        <f>AF12</f>
        <v>0</v>
      </c>
      <c r="CD24" s="80"/>
      <c r="CE24" s="80">
        <f>AH12</f>
        <v>22000</v>
      </c>
      <c r="CF24" s="80"/>
      <c r="CG24" s="80">
        <f>AJ12</f>
        <v>44000</v>
      </c>
      <c r="CH24" s="80"/>
      <c r="CI24" s="80">
        <f>AL12</f>
        <v>43000</v>
      </c>
      <c r="CJ24" s="80"/>
      <c r="CK24" s="80">
        <f>AN12</f>
        <v>0</v>
      </c>
      <c r="CL24" s="80"/>
      <c r="CM24" s="80">
        <f>AP12</f>
        <v>0</v>
      </c>
      <c r="CN24" s="80"/>
      <c r="CO24" s="80">
        <f>AR12</f>
        <v>0</v>
      </c>
      <c r="CP24" s="80"/>
      <c r="CQ24" s="80">
        <f>AT12</f>
        <v>0</v>
      </c>
      <c r="CR24" s="616"/>
      <c r="CS24" s="80">
        <f>AV12</f>
        <v>0</v>
      </c>
      <c r="CT24" s="80"/>
      <c r="CU24" s="80">
        <f>AX12</f>
        <v>0</v>
      </c>
      <c r="CV24" s="276"/>
      <c r="CW24" s="213">
        <v>64</v>
      </c>
      <c r="CX24" s="213" t="s">
        <v>22</v>
      </c>
      <c r="CY24" s="213">
        <v>84460</v>
      </c>
      <c r="CZ24" s="213">
        <v>78000</v>
      </c>
      <c r="DA24" s="213">
        <v>0</v>
      </c>
      <c r="DB24" s="213">
        <v>78000</v>
      </c>
      <c r="DC24" s="276"/>
      <c r="DD24" s="276"/>
    </row>
    <row r="25" spans="1:108" ht="13.5" customHeight="1" x14ac:dyDescent="0.2">
      <c r="A25" s="275"/>
      <c r="B25" s="275"/>
      <c r="C25" s="273"/>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78"/>
      <c r="BA25" s="279"/>
      <c r="BB25" s="280">
        <v>11</v>
      </c>
      <c r="BC25" s="281" t="s">
        <v>436</v>
      </c>
      <c r="BD25" s="80" t="s">
        <v>468</v>
      </c>
      <c r="BE25" s="80">
        <f>F10+F11</f>
        <v>22000</v>
      </c>
      <c r="BF25" s="80">
        <f>H10+H11</f>
        <v>0</v>
      </c>
      <c r="BG25" s="80">
        <f>P10+P11</f>
        <v>0</v>
      </c>
      <c r="BH25" s="80"/>
      <c r="BI25" s="80">
        <f>L10+L11</f>
        <v>0</v>
      </c>
      <c r="BJ25" s="80"/>
      <c r="BK25" s="80">
        <f>Q10+Q11</f>
        <v>0</v>
      </c>
      <c r="BL25" s="80"/>
      <c r="BM25" s="80">
        <f>S10+S11</f>
        <v>0</v>
      </c>
      <c r="BN25" s="80"/>
      <c r="BO25" s="80">
        <f>R10+R11</f>
        <v>41325</v>
      </c>
      <c r="BP25" s="80"/>
      <c r="BQ25" s="80">
        <f>T10+T11</f>
        <v>0</v>
      </c>
      <c r="BR25" s="80"/>
      <c r="BS25" s="80">
        <f>V10+V11</f>
        <v>0</v>
      </c>
      <c r="BT25" s="80"/>
      <c r="BU25" s="80">
        <f>X10+X11</f>
        <v>0</v>
      </c>
      <c r="BV25" s="81"/>
      <c r="BW25" s="80">
        <f>Z10+Z11</f>
        <v>0</v>
      </c>
      <c r="BX25" s="80"/>
      <c r="BY25" s="80">
        <f>AB10+AB11</f>
        <v>0</v>
      </c>
      <c r="BZ25" s="80"/>
      <c r="CA25" s="80">
        <f>AD10+AD11</f>
        <v>0</v>
      </c>
      <c r="CB25" s="80"/>
      <c r="CC25" s="80">
        <f>AF10+AF11</f>
        <v>0</v>
      </c>
      <c r="CD25" s="80"/>
      <c r="CE25" s="80">
        <f>AH10+AH11</f>
        <v>22000</v>
      </c>
      <c r="CF25" s="80"/>
      <c r="CG25" s="80">
        <f>AJ10+AJ11</f>
        <v>44000</v>
      </c>
      <c r="CH25" s="80"/>
      <c r="CI25" s="80">
        <f>AL10+AL11</f>
        <v>39000</v>
      </c>
      <c r="CJ25" s="80"/>
      <c r="CK25" s="80">
        <f>AN10+AN11</f>
        <v>46000</v>
      </c>
      <c r="CL25" s="80"/>
      <c r="CM25" s="80">
        <f>AP10+AP11</f>
        <v>24000</v>
      </c>
      <c r="CN25" s="80"/>
      <c r="CO25" s="80">
        <f>AR10+AR11</f>
        <v>11500</v>
      </c>
      <c r="CP25" s="80"/>
      <c r="CQ25" s="80">
        <f>AT10+AT11</f>
        <v>0</v>
      </c>
      <c r="CR25" s="80"/>
      <c r="CS25" s="80">
        <f>AV10+AV11</f>
        <v>0</v>
      </c>
      <c r="CT25" s="80"/>
      <c r="CU25" s="80">
        <f>AX10+AX11</f>
        <v>0</v>
      </c>
      <c r="CV25" s="276"/>
      <c r="CW25" s="213">
        <v>68</v>
      </c>
      <c r="CX25" s="213" t="s">
        <v>147</v>
      </c>
      <c r="CY25" s="213">
        <v>1259000</v>
      </c>
      <c r="CZ25" s="213">
        <v>303500</v>
      </c>
      <c r="DA25" s="213">
        <v>259000</v>
      </c>
      <c r="DB25" s="213">
        <v>574000</v>
      </c>
      <c r="DC25" s="276"/>
      <c r="DD25" s="276"/>
    </row>
    <row r="26" spans="1:108" ht="22.5" customHeight="1" x14ac:dyDescent="0.2">
      <c r="A26" s="275"/>
      <c r="B26" s="275"/>
      <c r="F26" s="286"/>
      <c r="G26" s="286"/>
      <c r="H26" s="287"/>
      <c r="I26" s="288"/>
      <c r="J26" s="288"/>
      <c r="K26" s="288"/>
      <c r="L26" s="288"/>
      <c r="M26" s="288"/>
      <c r="N26" s="288"/>
      <c r="O26" s="288"/>
      <c r="P26" s="288"/>
      <c r="Q26" s="288"/>
      <c r="R26" s="288"/>
      <c r="S26" s="288"/>
      <c r="T26" s="288"/>
      <c r="U26" s="288"/>
      <c r="V26" s="288"/>
      <c r="W26" s="288"/>
      <c r="X26" s="288"/>
      <c r="Y26" s="288"/>
      <c r="Z26" s="288"/>
      <c r="AA26" s="287"/>
      <c r="AB26" s="740" t="str">
        <f>D8&amp;" (W1, 1)"</f>
        <v>Précipitations (W1, 1)</v>
      </c>
      <c r="AC26" s="741"/>
      <c r="AD26" s="741"/>
      <c r="AE26" s="742"/>
      <c r="AF26" s="288"/>
      <c r="AG26" s="288"/>
      <c r="AH26" s="288"/>
      <c r="AI26" s="288"/>
      <c r="AJ26" s="740" t="str">
        <f>D9&amp;"
(W1, 2)"</f>
        <v>Évapotranspiration réelle
(W1, 2)</v>
      </c>
      <c r="AK26" s="743"/>
      <c r="AL26" s="743"/>
      <c r="AM26" s="743"/>
      <c r="AN26" s="744"/>
      <c r="AO26" s="285"/>
      <c r="AP26" s="285"/>
      <c r="AQ26" s="285"/>
      <c r="AR26" s="285"/>
      <c r="AS26" s="285"/>
      <c r="AT26" s="285"/>
      <c r="AU26" s="285"/>
      <c r="AV26" s="285"/>
      <c r="AW26" s="285"/>
      <c r="AX26" s="285"/>
      <c r="AY26" s="285"/>
      <c r="AZ26" s="278"/>
      <c r="BA26" s="279"/>
      <c r="BB26" s="284" t="s">
        <v>494</v>
      </c>
      <c r="BC26" s="281" t="s">
        <v>561</v>
      </c>
      <c r="BD26" s="80"/>
      <c r="BE26" s="80" t="str">
        <f>IF(OR(ISBLANK(F10),ISBLANK(F11)),"N/A",IF((BE24=BE25),"ok","&lt;&gt;"))</f>
        <v>ok</v>
      </c>
      <c r="BF26" s="80" t="str">
        <f>IF(OR(ISBLANK(H10),ISBLANK(H11)),"N/A",IF((BF24=BF25),"ok","&lt;&gt;"))</f>
        <v>N/A</v>
      </c>
      <c r="BG26" s="80" t="str">
        <f>IF(OR(ISBLANK(P10),ISBLANK(P11)),"N/A",IF((BG24=BG25),"ok","&lt;&gt;"))</f>
        <v>N/A</v>
      </c>
      <c r="BH26" s="80"/>
      <c r="BI26" s="80" t="str">
        <f>IF(OR(ISBLANK(L10),ISBLANK(L11)),"N/A",IF((BI24=BI25),"ok","&lt;&gt;"))</f>
        <v>N/A</v>
      </c>
      <c r="BJ26" s="80"/>
      <c r="BK26" s="80" t="str">
        <f>IF(OR(ISBLANK(Q10),ISBLANK(Q11)),"N/A",IF((BK24=BK25),"ok","&lt;&gt;"))</f>
        <v>N/A</v>
      </c>
      <c r="BL26" s="80"/>
      <c r="BM26" s="80" t="str">
        <f>IF(OR(ISBLANK(S10),ISBLANK(S11)),"N/A",IF((BM24=BM25),"ok","&lt;&gt;"))</f>
        <v>N/A</v>
      </c>
      <c r="BN26" s="80"/>
      <c r="BO26" s="80" t="str">
        <f>IF(OR(ISBLANK(R10),ISBLANK(R11)),"N/A",IF((BO24=BO25),"ok","&lt;&gt;"))</f>
        <v>ok</v>
      </c>
      <c r="BP26" s="80"/>
      <c r="BQ26" s="80" t="str">
        <f>IF(OR(ISBLANK(T10),ISBLANK(T11)),"N/A",IF((BQ24=BQ25),"ok","&lt;&gt;"))</f>
        <v>N/A</v>
      </c>
      <c r="BR26" s="80"/>
      <c r="BS26" s="80" t="str">
        <f>IF(OR(ISBLANK(V10),ISBLANK(V11)),"N/A",IF((BS24=BS25),"ok","&lt;&gt;"))</f>
        <v>N/A</v>
      </c>
      <c r="BT26" s="80"/>
      <c r="BU26" s="80" t="str">
        <f>IF(OR(ISBLANK(X10),ISBLANK(X11)),"N/A",IF((BU24=BU25),"ok","&lt;&gt;"))</f>
        <v>N/A</v>
      </c>
      <c r="BV26" s="80"/>
      <c r="BW26" s="80" t="str">
        <f>IF(OR(ISBLANK(Z10),ISBLANK(Z11)),"N/A",IF((BW24=BW25),"ok","&lt;&gt;"))</f>
        <v>N/A</v>
      </c>
      <c r="BX26" s="80"/>
      <c r="BY26" s="80" t="str">
        <f>IF(OR(ISBLANK(AB10),ISBLANK(AB11)),"N/A",IF((BY24=BY25),"ok","&lt;&gt;"))</f>
        <v>N/A</v>
      </c>
      <c r="BZ26" s="80"/>
      <c r="CA26" s="80" t="str">
        <f>IF(OR(ISBLANK(AD10),ISBLANK(AD11)),"N/A",IF((CA24=CA25),"ok","&lt;&gt;"))</f>
        <v>N/A</v>
      </c>
      <c r="CB26" s="80"/>
      <c r="CC26" s="80" t="str">
        <f>IF(OR(ISBLANK(AF10),ISBLANK(AF11)),"N/A",IF((CC24=CC25),"ok","&lt;&gt;"))</f>
        <v>N/A</v>
      </c>
      <c r="CD26" s="80"/>
      <c r="CE26" s="80" t="str">
        <f>IF(OR(ISBLANK(AH10),ISBLANK(AH11)),"N/A",IF((CE24=CE25),"ok","&lt;&gt;"))</f>
        <v>N/A</v>
      </c>
      <c r="CF26" s="80"/>
      <c r="CG26" s="80" t="str">
        <f>IF(OR(ISBLANK(AJ10),ISBLANK(AJ11)),"N/A",IF((CG24=CG25),"ok","&lt;&gt;"))</f>
        <v>N/A</v>
      </c>
      <c r="CH26" s="80"/>
      <c r="CI26" s="80" t="str">
        <f>IF(OR(ISBLANK(AL10),ISBLANK(AL11)),"N/A",IF((CI24=CI25),"ok","&lt;&gt;"))</f>
        <v>N/A</v>
      </c>
      <c r="CJ26" s="80"/>
      <c r="CK26" s="80" t="str">
        <f>IF(OR(ISBLANK(AN10),ISBLANK(AN11)),"N/A",IF((CK24=CK25),"ok","&lt;&gt;"))</f>
        <v>N/A</v>
      </c>
      <c r="CL26" s="80"/>
      <c r="CM26" s="80" t="str">
        <f>IF(OR(ISBLANK(AP10),ISBLANK(AP11)),"N/A",IF((CM24=CM25),"ok","&lt;&gt;"))</f>
        <v>N/A</v>
      </c>
      <c r="CN26" s="80"/>
      <c r="CO26" s="80" t="str">
        <f>IF(OR(ISBLANK(AR10),ISBLANK(AR11)),"N/A",IF((CO24=CO25),"ok","&lt;&gt;"))</f>
        <v>N/A</v>
      </c>
      <c r="CP26" s="80"/>
      <c r="CQ26" s="80" t="str">
        <f>IF(OR(ISBLANK(AT10),ISBLANK(AT11)),"N/A",IF((CQ24=CQ25),"ok","&lt;&gt;"))</f>
        <v>N/A</v>
      </c>
      <c r="CR26" s="80"/>
      <c r="CS26" s="80" t="str">
        <f>IF(OR(ISBLANK(AV10),ISBLANK(AV11)),"N/A",IF((CS24=CS25),"ok","&lt;&gt;"))</f>
        <v>N/A</v>
      </c>
      <c r="CT26" s="80"/>
      <c r="CU26" s="80" t="str">
        <f>IF(OR(ISBLANK(AX10),ISBLANK(AX11)),"N/A",IF((CU24=CU25),"ok","&lt;&gt;"))</f>
        <v>N/A</v>
      </c>
      <c r="CV26" s="276"/>
      <c r="CW26" s="213">
        <v>70</v>
      </c>
      <c r="CX26" s="213" t="s">
        <v>23</v>
      </c>
      <c r="CY26" s="213">
        <v>52640</v>
      </c>
      <c r="CZ26" s="213">
        <v>35500</v>
      </c>
      <c r="DA26" s="213">
        <v>2000</v>
      </c>
      <c r="DB26" s="213">
        <v>37500</v>
      </c>
      <c r="DC26" s="276"/>
      <c r="DD26" s="276"/>
    </row>
    <row r="27" spans="1:108" ht="14.25" customHeight="1" x14ac:dyDescent="0.2">
      <c r="A27" s="275"/>
      <c r="B27" s="275"/>
      <c r="C27" s="273"/>
      <c r="D27" s="285"/>
      <c r="E27" s="285"/>
      <c r="F27" s="289"/>
      <c r="G27" s="289"/>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5"/>
      <c r="AN27" s="285"/>
      <c r="AO27" s="285"/>
      <c r="AP27" s="285"/>
      <c r="AQ27" s="285"/>
      <c r="AR27" s="285"/>
      <c r="AS27" s="285"/>
      <c r="AT27" s="285"/>
      <c r="AU27" s="285"/>
      <c r="AV27" s="285"/>
      <c r="AW27" s="285"/>
      <c r="AX27" s="285"/>
      <c r="AY27" s="285"/>
      <c r="AZ27" s="278"/>
      <c r="BA27" s="279"/>
      <c r="BB27" s="95">
        <v>1</v>
      </c>
      <c r="BC27" s="290" t="s">
        <v>467</v>
      </c>
      <c r="BD27" s="95" t="s">
        <v>468</v>
      </c>
      <c r="BE27" s="80">
        <f>F8</f>
        <v>140000</v>
      </c>
      <c r="BF27" s="81" t="s">
        <v>471</v>
      </c>
      <c r="BG27" s="80" t="s">
        <v>471</v>
      </c>
      <c r="BH27" s="81"/>
      <c r="BI27" s="80" t="s">
        <v>471</v>
      </c>
      <c r="BJ27" s="81"/>
      <c r="BK27" s="80" t="s">
        <v>471</v>
      </c>
      <c r="BL27" s="81"/>
      <c r="BM27" s="80" t="s">
        <v>471</v>
      </c>
      <c r="BN27" s="81"/>
      <c r="BO27" s="80" t="s">
        <v>471</v>
      </c>
      <c r="BP27" s="81"/>
      <c r="BQ27" s="80" t="s">
        <v>471</v>
      </c>
      <c r="BR27" s="81"/>
      <c r="BS27" s="80" t="s">
        <v>471</v>
      </c>
      <c r="BT27" s="81"/>
      <c r="BU27" s="80" t="s">
        <v>471</v>
      </c>
      <c r="BV27" s="81"/>
      <c r="BW27" s="80" t="s">
        <v>471</v>
      </c>
      <c r="BX27" s="81"/>
      <c r="BY27" s="80" t="s">
        <v>471</v>
      </c>
      <c r="BZ27" s="81"/>
      <c r="CA27" s="80" t="s">
        <v>471</v>
      </c>
      <c r="CB27" s="81"/>
      <c r="CC27" s="80" t="s">
        <v>471</v>
      </c>
      <c r="CD27" s="80"/>
      <c r="CE27" s="80" t="s">
        <v>471</v>
      </c>
      <c r="CF27" s="81"/>
      <c r="CG27" s="80" t="s">
        <v>471</v>
      </c>
      <c r="CH27" s="81"/>
      <c r="CI27" s="80" t="s">
        <v>471</v>
      </c>
      <c r="CJ27" s="81"/>
      <c r="CK27" s="80" t="s">
        <v>471</v>
      </c>
      <c r="CL27" s="81"/>
      <c r="CM27" s="80" t="s">
        <v>471</v>
      </c>
      <c r="CN27" s="616"/>
      <c r="CO27" s="80" t="s">
        <v>471</v>
      </c>
      <c r="CP27" s="616"/>
      <c r="CQ27" s="80" t="s">
        <v>471</v>
      </c>
      <c r="CR27" s="616"/>
      <c r="CS27" s="80" t="s">
        <v>471</v>
      </c>
      <c r="CT27" s="616"/>
      <c r="CU27" s="80" t="s">
        <v>471</v>
      </c>
      <c r="CV27" s="276"/>
      <c r="CW27" s="213">
        <v>72</v>
      </c>
      <c r="CX27" s="213" t="s">
        <v>24</v>
      </c>
      <c r="CY27" s="213">
        <v>242000</v>
      </c>
      <c r="CZ27" s="213">
        <v>2400</v>
      </c>
      <c r="DA27" s="213">
        <v>9040</v>
      </c>
      <c r="DB27" s="213">
        <v>12240</v>
      </c>
      <c r="DC27" s="276"/>
      <c r="DD27" s="276"/>
    </row>
    <row r="28" spans="1:108" ht="19.899999999999999" customHeight="1" x14ac:dyDescent="0.2">
      <c r="A28" s="275"/>
      <c r="B28" s="275"/>
      <c r="C28" s="273"/>
      <c r="D28" s="285"/>
      <c r="F28" s="291"/>
      <c r="G28" s="286"/>
      <c r="H28" s="287"/>
      <c r="I28" s="287"/>
      <c r="J28" s="287"/>
      <c r="K28" s="287"/>
      <c r="L28" s="287"/>
      <c r="M28" s="287"/>
      <c r="N28" s="287"/>
      <c r="O28" s="287"/>
      <c r="P28" s="287"/>
      <c r="Q28" s="287"/>
      <c r="R28" s="287"/>
      <c r="S28" s="287"/>
      <c r="T28" s="287"/>
      <c r="U28" s="287"/>
      <c r="V28" s="287"/>
      <c r="W28" s="287"/>
      <c r="X28" s="287"/>
      <c r="Y28" s="287"/>
      <c r="Z28" s="287"/>
      <c r="AA28" s="287"/>
      <c r="AB28" s="287"/>
      <c r="AC28" s="288"/>
      <c r="AD28" s="740" t="str">
        <f>LEFT(D10,LEN(D10)-7)&amp;" (W1, 3)"</f>
        <v>Flux interne  (W1, 3)</v>
      </c>
      <c r="AE28" s="743"/>
      <c r="AF28" s="743"/>
      <c r="AG28" s="743"/>
      <c r="AH28" s="743"/>
      <c r="AI28" s="743"/>
      <c r="AJ28" s="743"/>
      <c r="AK28" s="743"/>
      <c r="AL28" s="744"/>
      <c r="AM28" s="285"/>
      <c r="AN28" s="285"/>
      <c r="AO28" s="285"/>
      <c r="AP28" s="285"/>
      <c r="AQ28" s="285"/>
      <c r="AR28" s="285"/>
      <c r="AS28" s="285"/>
      <c r="AZ28" s="278"/>
      <c r="BA28" s="279"/>
      <c r="BB28" s="280">
        <v>12</v>
      </c>
      <c r="BC28" s="281" t="s">
        <v>446</v>
      </c>
      <c r="BD28" s="80" t="s">
        <v>468</v>
      </c>
      <c r="BE28" s="80">
        <f>VLOOKUP(B3,CW7:DB183,3,FALSE)</f>
        <v>154500</v>
      </c>
      <c r="BF28" s="80" t="s">
        <v>471</v>
      </c>
      <c r="BG28" s="80" t="s">
        <v>471</v>
      </c>
      <c r="BH28" s="80"/>
      <c r="BI28" s="80" t="s">
        <v>471</v>
      </c>
      <c r="BJ28" s="81"/>
      <c r="BK28" s="80" t="s">
        <v>471</v>
      </c>
      <c r="BL28" s="81"/>
      <c r="BM28" s="80" t="s">
        <v>471</v>
      </c>
      <c r="BN28" s="81"/>
      <c r="BO28" s="80" t="s">
        <v>471</v>
      </c>
      <c r="BP28" s="81"/>
      <c r="BQ28" s="80" t="s">
        <v>471</v>
      </c>
      <c r="BR28" s="81"/>
      <c r="BS28" s="80" t="s">
        <v>471</v>
      </c>
      <c r="BT28" s="81"/>
      <c r="BU28" s="80" t="s">
        <v>471</v>
      </c>
      <c r="BV28" s="81"/>
      <c r="BW28" s="80" t="s">
        <v>471</v>
      </c>
      <c r="BX28" s="81"/>
      <c r="BY28" s="80" t="s">
        <v>471</v>
      </c>
      <c r="BZ28" s="81"/>
      <c r="CA28" s="80" t="s">
        <v>471</v>
      </c>
      <c r="CB28" s="81"/>
      <c r="CC28" s="80" t="s">
        <v>471</v>
      </c>
      <c r="CD28" s="80"/>
      <c r="CE28" s="80" t="s">
        <v>471</v>
      </c>
      <c r="CF28" s="81"/>
      <c r="CG28" s="80" t="s">
        <v>471</v>
      </c>
      <c r="CH28" s="81"/>
      <c r="CI28" s="80" t="s">
        <v>471</v>
      </c>
      <c r="CJ28" s="81"/>
      <c r="CK28" s="80" t="s">
        <v>471</v>
      </c>
      <c r="CL28" s="81"/>
      <c r="CM28" s="80" t="s">
        <v>471</v>
      </c>
      <c r="CN28" s="616"/>
      <c r="CO28" s="80" t="s">
        <v>471</v>
      </c>
      <c r="CP28" s="616"/>
      <c r="CQ28" s="80" t="s">
        <v>471</v>
      </c>
      <c r="CR28" s="616"/>
      <c r="CS28" s="80" t="s">
        <v>471</v>
      </c>
      <c r="CT28" s="616"/>
      <c r="CU28" s="80" t="s">
        <v>471</v>
      </c>
      <c r="CV28" s="276"/>
      <c r="CW28" s="213">
        <v>76</v>
      </c>
      <c r="CX28" s="213" t="s">
        <v>25</v>
      </c>
      <c r="CY28" s="213">
        <v>14995000</v>
      </c>
      <c r="CZ28" s="213">
        <v>5661000</v>
      </c>
      <c r="DA28" s="213">
        <v>2986000</v>
      </c>
      <c r="DB28" s="213">
        <v>8647000</v>
      </c>
      <c r="DC28" s="276"/>
      <c r="DD28" s="276"/>
    </row>
    <row r="29" spans="1:108" ht="36" customHeight="1" x14ac:dyDescent="0.2">
      <c r="A29" s="275"/>
      <c r="B29" s="275"/>
      <c r="C29" s="273"/>
      <c r="D29" s="285"/>
      <c r="E29" s="285"/>
      <c r="F29" s="289"/>
      <c r="G29" s="289"/>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5"/>
      <c r="AN29" s="285"/>
      <c r="AO29" s="285"/>
      <c r="AP29" s="285"/>
      <c r="AQ29" s="285"/>
      <c r="AR29" s="285"/>
      <c r="AS29" s="285"/>
      <c r="AT29" s="740" t="str">
        <f>D13&amp; " (W1, 6)"</f>
        <v>Flux sortant d’eaux de surface et d’eaux souterraines vers les pays voisins (W1, 6)</v>
      </c>
      <c r="AU29" s="741"/>
      <c r="AV29" s="741"/>
      <c r="AW29" s="741"/>
      <c r="AX29" s="741"/>
      <c r="AY29" s="748"/>
      <c r="AZ29" s="278"/>
      <c r="BA29" s="279"/>
      <c r="BB29" s="284" t="s">
        <v>494</v>
      </c>
      <c r="BC29" s="292" t="s">
        <v>562</v>
      </c>
      <c r="BD29" s="80" t="s">
        <v>468</v>
      </c>
      <c r="BE29" s="80">
        <f>ABS(BE27-BE28)</f>
        <v>14500</v>
      </c>
      <c r="BF29" s="81" t="s">
        <v>471</v>
      </c>
      <c r="BG29" s="80" t="s">
        <v>471</v>
      </c>
      <c r="BH29" s="81"/>
      <c r="BI29" s="80" t="s">
        <v>471</v>
      </c>
      <c r="BJ29" s="81"/>
      <c r="BK29" s="80" t="s">
        <v>471</v>
      </c>
      <c r="BL29" s="81"/>
      <c r="BM29" s="80" t="s">
        <v>471</v>
      </c>
      <c r="BN29" s="81"/>
      <c r="BO29" s="80" t="s">
        <v>471</v>
      </c>
      <c r="BP29" s="81"/>
      <c r="BQ29" s="80" t="s">
        <v>471</v>
      </c>
      <c r="BR29" s="81"/>
      <c r="BS29" s="80" t="s">
        <v>471</v>
      </c>
      <c r="BT29" s="81"/>
      <c r="BU29" s="80" t="s">
        <v>471</v>
      </c>
      <c r="BV29" s="81"/>
      <c r="BW29" s="80" t="s">
        <v>471</v>
      </c>
      <c r="BX29" s="81"/>
      <c r="BY29" s="80" t="s">
        <v>471</v>
      </c>
      <c r="BZ29" s="81"/>
      <c r="CA29" s="80" t="s">
        <v>471</v>
      </c>
      <c r="CB29" s="81"/>
      <c r="CC29" s="80" t="s">
        <v>471</v>
      </c>
      <c r="CD29" s="80"/>
      <c r="CE29" s="80" t="s">
        <v>471</v>
      </c>
      <c r="CF29" s="81"/>
      <c r="CG29" s="80" t="s">
        <v>471</v>
      </c>
      <c r="CH29" s="81"/>
      <c r="CI29" s="80" t="s">
        <v>471</v>
      </c>
      <c r="CJ29" s="81"/>
      <c r="CK29" s="80" t="s">
        <v>471</v>
      </c>
      <c r="CL29" s="81"/>
      <c r="CM29" s="80" t="s">
        <v>471</v>
      </c>
      <c r="CN29" s="616"/>
      <c r="CO29" s="80" t="s">
        <v>471</v>
      </c>
      <c r="CP29" s="616"/>
      <c r="CQ29" s="80" t="s">
        <v>471</v>
      </c>
      <c r="CR29" s="616"/>
      <c r="CS29" s="80" t="s">
        <v>471</v>
      </c>
      <c r="CT29" s="616"/>
      <c r="CU29" s="80" t="s">
        <v>471</v>
      </c>
      <c r="CV29" s="276"/>
      <c r="CW29" s="213">
        <v>96</v>
      </c>
      <c r="CX29" s="213" t="s">
        <v>26</v>
      </c>
      <c r="CY29" s="213">
        <v>15710</v>
      </c>
      <c r="CZ29" s="213">
        <v>8500</v>
      </c>
      <c r="DA29" s="213">
        <v>0</v>
      </c>
      <c r="DB29" s="213">
        <v>8500</v>
      </c>
      <c r="DC29" s="276"/>
      <c r="DD29" s="276"/>
    </row>
    <row r="30" spans="1:108" s="186" customFormat="1" ht="44.25" customHeight="1" x14ac:dyDescent="0.2">
      <c r="A30" s="275"/>
      <c r="B30" s="275"/>
      <c r="C30" s="273"/>
      <c r="D30" s="285"/>
      <c r="E30" s="285"/>
      <c r="F30" s="289"/>
      <c r="G30" s="289"/>
      <c r="H30" s="288"/>
      <c r="I30" s="288"/>
      <c r="J30" s="288"/>
      <c r="K30" s="288"/>
      <c r="L30" s="288"/>
      <c r="M30" s="288"/>
      <c r="N30" s="288"/>
      <c r="O30" s="288"/>
      <c r="P30" s="288"/>
      <c r="Q30" s="288"/>
      <c r="R30" s="288"/>
      <c r="S30" s="288"/>
      <c r="T30" s="288"/>
      <c r="U30" s="288"/>
      <c r="V30" s="288"/>
      <c r="W30" s="288"/>
      <c r="X30" s="288"/>
      <c r="Y30" s="288"/>
      <c r="Z30" s="288"/>
      <c r="AA30" s="288"/>
      <c r="AB30" s="740" t="str">
        <f>D11&amp;" (W1, 4)"</f>
        <v>Apport externe d’eaux de surface et d’eaux souterraines des pays voisins (W1, 4)</v>
      </c>
      <c r="AC30" s="749"/>
      <c r="AD30" s="749"/>
      <c r="AE30" s="750"/>
      <c r="AF30" s="288"/>
      <c r="AG30" s="288"/>
      <c r="AH30" s="288"/>
      <c r="AI30" s="288"/>
      <c r="AJ30" s="288"/>
      <c r="AK30" s="740" t="str">
        <f>LEFT(D12,LEN(D12)-7)&amp;" (W1, 5)"</f>
        <v>Ressources renouvelables en eau douce (W1, 5)</v>
      </c>
      <c r="AL30" s="751"/>
      <c r="AM30" s="751"/>
      <c r="AN30" s="752"/>
      <c r="AO30" s="285"/>
      <c r="AP30" s="285"/>
      <c r="AQ30" s="285"/>
      <c r="AR30" s="285"/>
      <c r="AS30" s="285"/>
      <c r="AT30" s="286"/>
      <c r="AU30" s="286"/>
      <c r="AV30" s="286"/>
      <c r="AW30" s="286"/>
      <c r="AX30" s="286"/>
      <c r="AY30" s="293"/>
      <c r="AZ30" s="278"/>
      <c r="BA30" s="279"/>
      <c r="BB30" s="80">
        <v>3</v>
      </c>
      <c r="BC30" s="237" t="s">
        <v>420</v>
      </c>
      <c r="BD30" s="80" t="s">
        <v>468</v>
      </c>
      <c r="BE30" s="80">
        <f>F10</f>
        <v>22000</v>
      </c>
      <c r="BF30" s="81" t="s">
        <v>471</v>
      </c>
      <c r="BG30" s="80" t="s">
        <v>471</v>
      </c>
      <c r="BH30" s="81"/>
      <c r="BI30" s="80" t="s">
        <v>471</v>
      </c>
      <c r="BJ30" s="81"/>
      <c r="BK30" s="80" t="s">
        <v>471</v>
      </c>
      <c r="BL30" s="81"/>
      <c r="BM30" s="80" t="s">
        <v>471</v>
      </c>
      <c r="BN30" s="81"/>
      <c r="BO30" s="80" t="s">
        <v>471</v>
      </c>
      <c r="BP30" s="81"/>
      <c r="BQ30" s="80" t="s">
        <v>471</v>
      </c>
      <c r="BR30" s="81"/>
      <c r="BS30" s="80" t="s">
        <v>471</v>
      </c>
      <c r="BT30" s="81"/>
      <c r="BU30" s="80" t="s">
        <v>471</v>
      </c>
      <c r="BV30" s="81"/>
      <c r="BW30" s="80" t="s">
        <v>471</v>
      </c>
      <c r="BX30" s="81"/>
      <c r="BY30" s="80" t="s">
        <v>471</v>
      </c>
      <c r="BZ30" s="81"/>
      <c r="CA30" s="80" t="s">
        <v>471</v>
      </c>
      <c r="CB30" s="81"/>
      <c r="CC30" s="80" t="s">
        <v>471</v>
      </c>
      <c r="CD30" s="80"/>
      <c r="CE30" s="80" t="s">
        <v>471</v>
      </c>
      <c r="CF30" s="81"/>
      <c r="CG30" s="80" t="s">
        <v>471</v>
      </c>
      <c r="CH30" s="81"/>
      <c r="CI30" s="80" t="s">
        <v>471</v>
      </c>
      <c r="CJ30" s="81"/>
      <c r="CK30" s="80" t="s">
        <v>471</v>
      </c>
      <c r="CL30" s="81"/>
      <c r="CM30" s="80" t="s">
        <v>471</v>
      </c>
      <c r="CN30" s="616"/>
      <c r="CO30" s="80" t="s">
        <v>471</v>
      </c>
      <c r="CP30" s="616"/>
      <c r="CQ30" s="80" t="s">
        <v>471</v>
      </c>
      <c r="CR30" s="616"/>
      <c r="CS30" s="80" t="s">
        <v>471</v>
      </c>
      <c r="CT30" s="616"/>
      <c r="CU30" s="80" t="s">
        <v>471</v>
      </c>
      <c r="CV30" s="276"/>
      <c r="CW30" s="213">
        <v>100</v>
      </c>
      <c r="CX30" s="213" t="s">
        <v>27</v>
      </c>
      <c r="CY30" s="213">
        <v>67490</v>
      </c>
      <c r="CZ30" s="213">
        <v>21000</v>
      </c>
      <c r="DA30" s="213">
        <v>300</v>
      </c>
      <c r="DB30" s="213">
        <v>21300</v>
      </c>
      <c r="DC30" s="294"/>
      <c r="DD30" s="294"/>
    </row>
    <row r="31" spans="1:108" s="186" customFormat="1" ht="37.5" customHeight="1" x14ac:dyDescent="0.2">
      <c r="A31" s="275"/>
      <c r="B31" s="275"/>
      <c r="C31" s="273"/>
      <c r="E31" s="291"/>
      <c r="F31" s="286"/>
      <c r="G31" s="286"/>
      <c r="H31" s="287"/>
      <c r="I31" s="295"/>
      <c r="J31" s="295"/>
      <c r="K31" s="295"/>
      <c r="L31" s="295"/>
      <c r="M31" s="295"/>
      <c r="N31" s="295"/>
      <c r="O31" s="295"/>
      <c r="P31" s="295"/>
      <c r="Q31" s="295"/>
      <c r="R31" s="295"/>
      <c r="S31" s="295"/>
      <c r="T31" s="295"/>
      <c r="U31" s="295"/>
      <c r="V31" s="295"/>
      <c r="W31" s="295"/>
      <c r="X31" s="295"/>
      <c r="Y31" s="295"/>
      <c r="Z31" s="295"/>
      <c r="AA31" s="296"/>
      <c r="AB31" s="753"/>
      <c r="AC31" s="754"/>
      <c r="AD31" s="754"/>
      <c r="AE31" s="754"/>
      <c r="AF31" s="296"/>
      <c r="AG31" s="297"/>
      <c r="AH31" s="287"/>
      <c r="AI31" s="287"/>
      <c r="AJ31" s="287"/>
      <c r="AK31" s="753"/>
      <c r="AL31" s="755"/>
      <c r="AM31" s="755"/>
      <c r="AN31" s="755"/>
      <c r="AO31" s="298"/>
      <c r="AP31" s="298"/>
      <c r="AQ31" s="263"/>
      <c r="AR31" s="263"/>
      <c r="AS31" s="263"/>
      <c r="AT31" s="740" t="str">
        <f>D16&amp; " (W1, 9)"</f>
        <v>Flux sortant d’eaux de surface et d’eaux souterraines vers la mer (W1, 9)</v>
      </c>
      <c r="AU31" s="741"/>
      <c r="AV31" s="741"/>
      <c r="AW31" s="741"/>
      <c r="AX31" s="741"/>
      <c r="AY31" s="748"/>
      <c r="AZ31" s="278"/>
      <c r="BA31" s="279"/>
      <c r="BB31" s="299">
        <v>13</v>
      </c>
      <c r="BC31" s="281" t="s">
        <v>447</v>
      </c>
      <c r="BD31" s="80" t="s">
        <v>468</v>
      </c>
      <c r="BE31" s="80">
        <f>VLOOKUP(B3,CW7:DB183,4,FALSE)</f>
        <v>29000</v>
      </c>
      <c r="BF31" s="81" t="s">
        <v>471</v>
      </c>
      <c r="BG31" s="80" t="s">
        <v>471</v>
      </c>
      <c r="BH31" s="81"/>
      <c r="BI31" s="80" t="s">
        <v>471</v>
      </c>
      <c r="BJ31" s="81"/>
      <c r="BK31" s="80" t="s">
        <v>471</v>
      </c>
      <c r="BL31" s="81"/>
      <c r="BM31" s="80" t="s">
        <v>471</v>
      </c>
      <c r="BN31" s="81"/>
      <c r="BO31" s="80" t="s">
        <v>471</v>
      </c>
      <c r="BP31" s="81"/>
      <c r="BQ31" s="80" t="s">
        <v>471</v>
      </c>
      <c r="BR31" s="81"/>
      <c r="BS31" s="80" t="s">
        <v>471</v>
      </c>
      <c r="BT31" s="81"/>
      <c r="BU31" s="80" t="s">
        <v>471</v>
      </c>
      <c r="BV31" s="81"/>
      <c r="BW31" s="80" t="s">
        <v>471</v>
      </c>
      <c r="BX31" s="81"/>
      <c r="BY31" s="80" t="s">
        <v>471</v>
      </c>
      <c r="BZ31" s="81"/>
      <c r="CA31" s="80" t="s">
        <v>471</v>
      </c>
      <c r="CB31" s="81"/>
      <c r="CC31" s="80" t="s">
        <v>471</v>
      </c>
      <c r="CD31" s="80"/>
      <c r="CE31" s="80" t="s">
        <v>471</v>
      </c>
      <c r="CF31" s="81"/>
      <c r="CG31" s="80" t="s">
        <v>471</v>
      </c>
      <c r="CH31" s="81"/>
      <c r="CI31" s="80" t="s">
        <v>471</v>
      </c>
      <c r="CJ31" s="81"/>
      <c r="CK31" s="80" t="s">
        <v>471</v>
      </c>
      <c r="CL31" s="81"/>
      <c r="CM31" s="80" t="s">
        <v>471</v>
      </c>
      <c r="CN31" s="616"/>
      <c r="CO31" s="80" t="s">
        <v>471</v>
      </c>
      <c r="CP31" s="616"/>
      <c r="CQ31" s="80" t="s">
        <v>471</v>
      </c>
      <c r="CR31" s="616"/>
      <c r="CS31" s="80" t="s">
        <v>471</v>
      </c>
      <c r="CT31" s="616"/>
      <c r="CU31" s="80" t="s">
        <v>471</v>
      </c>
      <c r="CV31" s="294"/>
      <c r="CW31" s="213">
        <v>854</v>
      </c>
      <c r="CX31" s="213" t="s">
        <v>28</v>
      </c>
      <c r="CY31" s="213">
        <v>205100</v>
      </c>
      <c r="CZ31" s="213">
        <v>12500</v>
      </c>
      <c r="DA31" s="213">
        <v>0</v>
      </c>
      <c r="DB31" s="213">
        <v>13500</v>
      </c>
      <c r="DC31" s="294"/>
      <c r="DD31" s="294"/>
    </row>
    <row r="32" spans="1:108" s="627" customFormat="1" x14ac:dyDescent="0.2">
      <c r="A32" s="623"/>
      <c r="B32" s="275"/>
      <c r="C32" s="273"/>
      <c r="D32" s="186"/>
      <c r="E32" s="300"/>
      <c r="F32" s="300"/>
      <c r="G32" s="294"/>
      <c r="H32" s="301"/>
      <c r="I32" s="302"/>
      <c r="J32" s="302"/>
      <c r="K32" s="302"/>
      <c r="L32" s="302"/>
      <c r="M32" s="302"/>
      <c r="N32" s="302"/>
      <c r="O32" s="302"/>
      <c r="P32" s="302"/>
      <c r="Q32" s="302"/>
      <c r="R32" s="302"/>
      <c r="S32" s="302"/>
      <c r="T32" s="302"/>
      <c r="U32" s="302"/>
      <c r="V32" s="302"/>
      <c r="W32" s="302"/>
      <c r="X32" s="302"/>
      <c r="Y32" s="302"/>
      <c r="Z32" s="302"/>
      <c r="AA32" s="303"/>
      <c r="AB32" s="303"/>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625"/>
      <c r="BA32" s="626"/>
      <c r="BB32" s="284" t="s">
        <v>494</v>
      </c>
      <c r="BC32" s="281" t="s">
        <v>563</v>
      </c>
      <c r="BD32" s="80" t="s">
        <v>468</v>
      </c>
      <c r="BE32" s="80">
        <f>ABS(BE30-BE31)</f>
        <v>7000</v>
      </c>
      <c r="BF32" s="80" t="s">
        <v>471</v>
      </c>
      <c r="BG32" s="80" t="s">
        <v>471</v>
      </c>
      <c r="BH32" s="80"/>
      <c r="BI32" s="80" t="s">
        <v>471</v>
      </c>
      <c r="BJ32" s="80"/>
      <c r="BK32" s="80" t="s">
        <v>471</v>
      </c>
      <c r="BL32" s="80"/>
      <c r="BM32" s="80" t="s">
        <v>471</v>
      </c>
      <c r="BN32" s="80"/>
      <c r="BO32" s="80" t="s">
        <v>471</v>
      </c>
      <c r="BP32" s="80"/>
      <c r="BQ32" s="80" t="s">
        <v>471</v>
      </c>
      <c r="BR32" s="80"/>
      <c r="BS32" s="80" t="s">
        <v>471</v>
      </c>
      <c r="BT32" s="80"/>
      <c r="BU32" s="80" t="s">
        <v>471</v>
      </c>
      <c r="BV32" s="80"/>
      <c r="BW32" s="80" t="s">
        <v>471</v>
      </c>
      <c r="BX32" s="80"/>
      <c r="BY32" s="80" t="s">
        <v>471</v>
      </c>
      <c r="BZ32" s="80"/>
      <c r="CA32" s="80" t="s">
        <v>471</v>
      </c>
      <c r="CB32" s="80"/>
      <c r="CC32" s="80" t="s">
        <v>471</v>
      </c>
      <c r="CD32" s="80"/>
      <c r="CE32" s="80" t="s">
        <v>471</v>
      </c>
      <c r="CF32" s="80"/>
      <c r="CG32" s="80" t="s">
        <v>471</v>
      </c>
      <c r="CH32" s="80"/>
      <c r="CI32" s="80" t="s">
        <v>471</v>
      </c>
      <c r="CJ32" s="80"/>
      <c r="CK32" s="80" t="s">
        <v>471</v>
      </c>
      <c r="CL32" s="80"/>
      <c r="CM32" s="80" t="s">
        <v>471</v>
      </c>
      <c r="CN32" s="80"/>
      <c r="CO32" s="80" t="s">
        <v>471</v>
      </c>
      <c r="CP32" s="80"/>
      <c r="CQ32" s="80" t="s">
        <v>471</v>
      </c>
      <c r="CR32" s="80"/>
      <c r="CS32" s="80" t="s">
        <v>471</v>
      </c>
      <c r="CT32" s="80"/>
      <c r="CU32" s="80" t="s">
        <v>471</v>
      </c>
      <c r="CV32" s="294"/>
      <c r="CW32" s="213">
        <v>108</v>
      </c>
      <c r="CX32" s="213" t="s">
        <v>29</v>
      </c>
      <c r="CY32" s="213">
        <v>35460</v>
      </c>
      <c r="CZ32" s="213">
        <v>10060</v>
      </c>
      <c r="DA32" s="213">
        <v>126</v>
      </c>
      <c r="DB32" s="213">
        <v>12540</v>
      </c>
      <c r="DC32" s="632"/>
      <c r="DD32" s="632"/>
    </row>
    <row r="33" spans="2:106" ht="15.75" customHeight="1" x14ac:dyDescent="0.25">
      <c r="B33" s="176">
        <v>2</v>
      </c>
      <c r="C33" s="732" t="s">
        <v>306</v>
      </c>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BB33" s="80">
        <v>4</v>
      </c>
      <c r="BC33" s="237" t="s">
        <v>424</v>
      </c>
      <c r="BD33" s="80" t="s">
        <v>468</v>
      </c>
      <c r="BE33" s="80">
        <f>F11</f>
        <v>0</v>
      </c>
      <c r="BF33" s="80" t="s">
        <v>471</v>
      </c>
      <c r="BG33" s="80" t="s">
        <v>471</v>
      </c>
      <c r="BH33" s="80"/>
      <c r="BI33" s="80" t="s">
        <v>471</v>
      </c>
      <c r="BJ33" s="80"/>
      <c r="BK33" s="80" t="s">
        <v>471</v>
      </c>
      <c r="BL33" s="80"/>
      <c r="BM33" s="80" t="s">
        <v>471</v>
      </c>
      <c r="BN33" s="80"/>
      <c r="BO33" s="80" t="s">
        <v>471</v>
      </c>
      <c r="BP33" s="80"/>
      <c r="BQ33" s="80" t="s">
        <v>471</v>
      </c>
      <c r="BR33" s="80"/>
      <c r="BS33" s="80" t="s">
        <v>471</v>
      </c>
      <c r="BT33" s="80"/>
      <c r="BU33" s="80" t="s">
        <v>471</v>
      </c>
      <c r="BV33" s="80"/>
      <c r="BW33" s="80" t="s">
        <v>471</v>
      </c>
      <c r="BX33" s="80"/>
      <c r="BY33" s="80" t="s">
        <v>471</v>
      </c>
      <c r="BZ33" s="80"/>
      <c r="CA33" s="80" t="s">
        <v>471</v>
      </c>
      <c r="CB33" s="80"/>
      <c r="CC33" s="80" t="s">
        <v>471</v>
      </c>
      <c r="CD33" s="80"/>
      <c r="CE33" s="80" t="s">
        <v>471</v>
      </c>
      <c r="CF33" s="80"/>
      <c r="CG33" s="80" t="s">
        <v>471</v>
      </c>
      <c r="CH33" s="80"/>
      <c r="CI33" s="80" t="s">
        <v>471</v>
      </c>
      <c r="CJ33" s="80"/>
      <c r="CK33" s="80" t="s">
        <v>471</v>
      </c>
      <c r="CL33" s="80"/>
      <c r="CM33" s="80" t="s">
        <v>471</v>
      </c>
      <c r="CN33" s="80"/>
      <c r="CO33" s="80" t="s">
        <v>471</v>
      </c>
      <c r="CP33" s="80"/>
      <c r="CQ33" s="80" t="s">
        <v>471</v>
      </c>
      <c r="CR33" s="80"/>
      <c r="CS33" s="80" t="s">
        <v>471</v>
      </c>
      <c r="CT33" s="80"/>
      <c r="CU33" s="80" t="s">
        <v>471</v>
      </c>
      <c r="CV33" s="632"/>
      <c r="CW33" s="213">
        <v>132</v>
      </c>
      <c r="CX33" s="213" t="s">
        <v>617</v>
      </c>
      <c r="CY33" s="213">
        <v>918.8</v>
      </c>
      <c r="CZ33" s="213">
        <v>300</v>
      </c>
      <c r="DA33" s="213">
        <v>0</v>
      </c>
      <c r="DB33" s="213">
        <v>300</v>
      </c>
    </row>
    <row r="34" spans="2:106" ht="18" customHeight="1" x14ac:dyDescent="0.25">
      <c r="C34" s="304"/>
      <c r="D34" s="305"/>
      <c r="E34" s="306"/>
      <c r="F34" s="186"/>
      <c r="G34" s="203"/>
      <c r="H34" s="202"/>
      <c r="I34" s="286"/>
      <c r="J34" s="202"/>
      <c r="K34" s="286"/>
      <c r="L34" s="286"/>
      <c r="M34" s="286"/>
      <c r="N34" s="286"/>
      <c r="O34" s="286"/>
      <c r="P34" s="286"/>
      <c r="Q34" s="286"/>
      <c r="R34" s="202"/>
      <c r="S34" s="286"/>
      <c r="T34" s="202"/>
      <c r="U34" s="286"/>
      <c r="V34" s="202"/>
      <c r="W34" s="203"/>
      <c r="X34" s="202"/>
      <c r="Y34" s="203"/>
      <c r="Z34" s="202"/>
      <c r="AA34" s="203"/>
      <c r="AB34" s="202"/>
      <c r="AC34" s="203"/>
      <c r="AD34" s="202"/>
      <c r="AE34" s="203"/>
      <c r="AF34" s="202"/>
      <c r="AG34" s="203"/>
      <c r="AH34" s="202"/>
      <c r="AI34" s="286"/>
      <c r="AJ34" s="202"/>
      <c r="AK34" s="203"/>
      <c r="AL34" s="202"/>
      <c r="AM34" s="203"/>
      <c r="AN34" s="202"/>
      <c r="AO34" s="203"/>
      <c r="AP34" s="203"/>
      <c r="AQ34" s="203"/>
      <c r="AR34" s="203"/>
      <c r="AS34" s="203"/>
      <c r="AT34" s="202"/>
      <c r="AU34" s="197"/>
      <c r="AV34" s="186"/>
      <c r="AW34" s="186"/>
      <c r="AX34" s="186"/>
      <c r="AY34" s="186"/>
      <c r="BB34" s="280">
        <v>14</v>
      </c>
      <c r="BC34" s="281" t="s">
        <v>449</v>
      </c>
      <c r="BD34" s="80" t="s">
        <v>468</v>
      </c>
      <c r="BE34" s="80">
        <f>VLOOKUP(B3,CW7:DB183,5,FALSE)</f>
        <v>0</v>
      </c>
      <c r="BF34" s="80" t="s">
        <v>471</v>
      </c>
      <c r="BG34" s="80" t="s">
        <v>471</v>
      </c>
      <c r="BH34" s="80"/>
      <c r="BI34" s="80" t="s">
        <v>471</v>
      </c>
      <c r="BJ34" s="80"/>
      <c r="BK34" s="80" t="s">
        <v>471</v>
      </c>
      <c r="BL34" s="80"/>
      <c r="BM34" s="80" t="s">
        <v>471</v>
      </c>
      <c r="BN34" s="80"/>
      <c r="BO34" s="80" t="s">
        <v>471</v>
      </c>
      <c r="BP34" s="80"/>
      <c r="BQ34" s="80" t="s">
        <v>471</v>
      </c>
      <c r="BR34" s="80"/>
      <c r="BS34" s="80" t="s">
        <v>471</v>
      </c>
      <c r="BT34" s="80"/>
      <c r="BU34" s="80" t="s">
        <v>471</v>
      </c>
      <c r="BV34" s="80"/>
      <c r="BW34" s="80" t="s">
        <v>471</v>
      </c>
      <c r="BX34" s="80"/>
      <c r="BY34" s="80" t="s">
        <v>471</v>
      </c>
      <c r="BZ34" s="80"/>
      <c r="CA34" s="80" t="s">
        <v>471</v>
      </c>
      <c r="CB34" s="80"/>
      <c r="CC34" s="80" t="s">
        <v>471</v>
      </c>
      <c r="CD34" s="80"/>
      <c r="CE34" s="80" t="s">
        <v>471</v>
      </c>
      <c r="CF34" s="80"/>
      <c r="CG34" s="80" t="s">
        <v>471</v>
      </c>
      <c r="CH34" s="80"/>
      <c r="CI34" s="80" t="s">
        <v>471</v>
      </c>
      <c r="CJ34" s="80"/>
      <c r="CK34" s="80" t="s">
        <v>471</v>
      </c>
      <c r="CL34" s="80"/>
      <c r="CM34" s="80" t="s">
        <v>471</v>
      </c>
      <c r="CN34" s="80"/>
      <c r="CO34" s="80" t="s">
        <v>471</v>
      </c>
      <c r="CP34" s="80"/>
      <c r="CQ34" s="80" t="s">
        <v>471</v>
      </c>
      <c r="CR34" s="80"/>
      <c r="CS34" s="80" t="s">
        <v>471</v>
      </c>
      <c r="CT34" s="80"/>
      <c r="CU34" s="80" t="s">
        <v>471</v>
      </c>
      <c r="CW34" s="213">
        <v>116</v>
      </c>
      <c r="CX34" s="213" t="s">
        <v>30</v>
      </c>
      <c r="CY34" s="213">
        <v>344700</v>
      </c>
      <c r="CZ34" s="213">
        <v>120600</v>
      </c>
      <c r="DA34" s="213">
        <v>355500</v>
      </c>
      <c r="DB34" s="213">
        <v>476100</v>
      </c>
    </row>
    <row r="35" spans="2:106" ht="18" customHeight="1" x14ac:dyDescent="0.2">
      <c r="C35" s="307" t="s">
        <v>604</v>
      </c>
      <c r="D35" s="757" t="s">
        <v>307</v>
      </c>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9"/>
      <c r="BB35" s="284" t="s">
        <v>494</v>
      </c>
      <c r="BC35" s="281" t="s">
        <v>564</v>
      </c>
      <c r="BD35" s="80" t="s">
        <v>468</v>
      </c>
      <c r="BE35" s="80">
        <f>ABS(BE33-BE34)</f>
        <v>0</v>
      </c>
      <c r="BF35" s="80" t="s">
        <v>471</v>
      </c>
      <c r="BG35" s="80" t="s">
        <v>471</v>
      </c>
      <c r="BH35" s="80"/>
      <c r="BI35" s="80" t="s">
        <v>471</v>
      </c>
      <c r="BJ35" s="80"/>
      <c r="BK35" s="80" t="s">
        <v>471</v>
      </c>
      <c r="BL35" s="80"/>
      <c r="BM35" s="80" t="s">
        <v>471</v>
      </c>
      <c r="BN35" s="80"/>
      <c r="BO35" s="80" t="s">
        <v>471</v>
      </c>
      <c r="BP35" s="80"/>
      <c r="BQ35" s="80" t="s">
        <v>471</v>
      </c>
      <c r="BR35" s="80"/>
      <c r="BS35" s="80" t="s">
        <v>471</v>
      </c>
      <c r="BT35" s="80"/>
      <c r="BU35" s="80" t="s">
        <v>471</v>
      </c>
      <c r="BV35" s="80"/>
      <c r="BW35" s="80" t="s">
        <v>471</v>
      </c>
      <c r="BX35" s="80"/>
      <c r="BY35" s="80" t="s">
        <v>471</v>
      </c>
      <c r="BZ35" s="80"/>
      <c r="CA35" s="80" t="s">
        <v>471</v>
      </c>
      <c r="CB35" s="80"/>
      <c r="CC35" s="80" t="s">
        <v>471</v>
      </c>
      <c r="CD35" s="80"/>
      <c r="CE35" s="80" t="s">
        <v>471</v>
      </c>
      <c r="CF35" s="80"/>
      <c r="CG35" s="80" t="s">
        <v>471</v>
      </c>
      <c r="CH35" s="80"/>
      <c r="CI35" s="80" t="s">
        <v>471</v>
      </c>
      <c r="CJ35" s="80"/>
      <c r="CK35" s="80" t="s">
        <v>471</v>
      </c>
      <c r="CL35" s="80"/>
      <c r="CM35" s="80" t="s">
        <v>471</v>
      </c>
      <c r="CN35" s="80"/>
      <c r="CO35" s="80" t="s">
        <v>471</v>
      </c>
      <c r="CP35" s="80"/>
      <c r="CQ35" s="80" t="s">
        <v>471</v>
      </c>
      <c r="CR35" s="80"/>
      <c r="CS35" s="80" t="s">
        <v>471</v>
      </c>
      <c r="CT35" s="80"/>
      <c r="CU35" s="80" t="s">
        <v>471</v>
      </c>
      <c r="CW35" s="213">
        <v>120</v>
      </c>
      <c r="CX35" s="213" t="s">
        <v>31</v>
      </c>
      <c r="CY35" s="213">
        <v>762600</v>
      </c>
      <c r="CZ35" s="213">
        <v>273000</v>
      </c>
      <c r="DA35" s="213">
        <v>4000</v>
      </c>
      <c r="DB35" s="213">
        <v>283100</v>
      </c>
    </row>
    <row r="36" spans="2:106" ht="18" customHeight="1" x14ac:dyDescent="0.2">
      <c r="C36" s="579"/>
      <c r="D36" s="760"/>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2"/>
      <c r="BB36" s="95">
        <v>5</v>
      </c>
      <c r="BC36" s="243" t="s">
        <v>419</v>
      </c>
      <c r="BD36" s="80" t="s">
        <v>468</v>
      </c>
      <c r="BE36" s="80">
        <f>F12</f>
        <v>22000</v>
      </c>
      <c r="BF36" s="80" t="s">
        <v>471</v>
      </c>
      <c r="BG36" s="80" t="s">
        <v>471</v>
      </c>
      <c r="BH36" s="80"/>
      <c r="BI36" s="80" t="s">
        <v>471</v>
      </c>
      <c r="BJ36" s="80"/>
      <c r="BK36" s="80" t="s">
        <v>471</v>
      </c>
      <c r="BL36" s="80"/>
      <c r="BM36" s="80" t="s">
        <v>471</v>
      </c>
      <c r="BN36" s="80"/>
      <c r="BO36" s="80" t="s">
        <v>471</v>
      </c>
      <c r="BP36" s="80"/>
      <c r="BQ36" s="80" t="s">
        <v>471</v>
      </c>
      <c r="BR36" s="80"/>
      <c r="BS36" s="80" t="s">
        <v>471</v>
      </c>
      <c r="BT36" s="80"/>
      <c r="BU36" s="80" t="s">
        <v>471</v>
      </c>
      <c r="BV36" s="80"/>
      <c r="BW36" s="80" t="s">
        <v>471</v>
      </c>
      <c r="BX36" s="80"/>
      <c r="BY36" s="80" t="s">
        <v>471</v>
      </c>
      <c r="BZ36" s="80"/>
      <c r="CA36" s="80" t="s">
        <v>471</v>
      </c>
      <c r="CB36" s="80"/>
      <c r="CC36" s="80" t="s">
        <v>471</v>
      </c>
      <c r="CD36" s="80"/>
      <c r="CE36" s="80" t="s">
        <v>471</v>
      </c>
      <c r="CF36" s="80"/>
      <c r="CG36" s="80" t="s">
        <v>471</v>
      </c>
      <c r="CH36" s="80"/>
      <c r="CI36" s="80" t="s">
        <v>471</v>
      </c>
      <c r="CJ36" s="80"/>
      <c r="CK36" s="80" t="s">
        <v>471</v>
      </c>
      <c r="CL36" s="80"/>
      <c r="CM36" s="80" t="s">
        <v>471</v>
      </c>
      <c r="CN36" s="80"/>
      <c r="CO36" s="80" t="s">
        <v>471</v>
      </c>
      <c r="CP36" s="80"/>
      <c r="CQ36" s="80" t="s">
        <v>471</v>
      </c>
      <c r="CR36" s="80"/>
      <c r="CS36" s="80" t="s">
        <v>471</v>
      </c>
      <c r="CT36" s="80"/>
      <c r="CU36" s="80" t="s">
        <v>471</v>
      </c>
      <c r="CW36" s="213">
        <v>140</v>
      </c>
      <c r="CX36" s="213" t="s">
        <v>32</v>
      </c>
      <c r="CY36" s="213">
        <v>836700</v>
      </c>
      <c r="CZ36" s="213">
        <v>141000</v>
      </c>
      <c r="DA36" s="213">
        <v>0</v>
      </c>
      <c r="DB36" s="213">
        <v>141000</v>
      </c>
    </row>
    <row r="37" spans="2:106" ht="18" customHeight="1" x14ac:dyDescent="0.2">
      <c r="C37" s="579"/>
      <c r="D37" s="745"/>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c r="AV37" s="746"/>
      <c r="AW37" s="746"/>
      <c r="AX37" s="746"/>
      <c r="AY37" s="747"/>
      <c r="BB37" s="280">
        <v>15</v>
      </c>
      <c r="BC37" s="281" t="s">
        <v>448</v>
      </c>
      <c r="BD37" s="80" t="s">
        <v>468</v>
      </c>
      <c r="BE37" s="80">
        <f>VLOOKUP(B3,CW7:DB183,6,FALSE)</f>
        <v>29000</v>
      </c>
      <c r="BF37" s="80" t="s">
        <v>471</v>
      </c>
      <c r="BG37" s="80" t="s">
        <v>471</v>
      </c>
      <c r="BH37" s="80"/>
      <c r="BI37" s="80" t="s">
        <v>471</v>
      </c>
      <c r="BJ37" s="80"/>
      <c r="BK37" s="80" t="s">
        <v>471</v>
      </c>
      <c r="BL37" s="80"/>
      <c r="BM37" s="80" t="s">
        <v>471</v>
      </c>
      <c r="BN37" s="80"/>
      <c r="BO37" s="80" t="s">
        <v>471</v>
      </c>
      <c r="BP37" s="80"/>
      <c r="BQ37" s="80" t="s">
        <v>471</v>
      </c>
      <c r="BR37" s="80"/>
      <c r="BS37" s="80" t="s">
        <v>471</v>
      </c>
      <c r="BT37" s="80"/>
      <c r="BU37" s="80" t="s">
        <v>471</v>
      </c>
      <c r="BV37" s="80"/>
      <c r="BW37" s="80" t="s">
        <v>471</v>
      </c>
      <c r="BX37" s="80"/>
      <c r="BY37" s="80" t="s">
        <v>471</v>
      </c>
      <c r="BZ37" s="80"/>
      <c r="CA37" s="80" t="s">
        <v>471</v>
      </c>
      <c r="CB37" s="80"/>
      <c r="CC37" s="80" t="s">
        <v>471</v>
      </c>
      <c r="CD37" s="80"/>
      <c r="CE37" s="80" t="s">
        <v>471</v>
      </c>
      <c r="CF37" s="80"/>
      <c r="CG37" s="80" t="s">
        <v>471</v>
      </c>
      <c r="CH37" s="80"/>
      <c r="CI37" s="80" t="s">
        <v>471</v>
      </c>
      <c r="CJ37" s="80"/>
      <c r="CK37" s="80" t="s">
        <v>471</v>
      </c>
      <c r="CL37" s="80"/>
      <c r="CM37" s="80" t="s">
        <v>471</v>
      </c>
      <c r="CN37" s="80"/>
      <c r="CO37" s="80" t="s">
        <v>471</v>
      </c>
      <c r="CP37" s="80"/>
      <c r="CQ37" s="80" t="s">
        <v>471</v>
      </c>
      <c r="CR37" s="80"/>
      <c r="CS37" s="80" t="s">
        <v>471</v>
      </c>
      <c r="CT37" s="80"/>
      <c r="CU37" s="80" t="s">
        <v>471</v>
      </c>
      <c r="CW37" s="213">
        <v>148</v>
      </c>
      <c r="CX37" s="213" t="s">
        <v>33</v>
      </c>
      <c r="CY37" s="213">
        <v>413400</v>
      </c>
      <c r="CZ37" s="213">
        <v>15000</v>
      </c>
      <c r="DA37" s="213">
        <v>30700</v>
      </c>
      <c r="DB37" s="213">
        <v>45700</v>
      </c>
    </row>
    <row r="38" spans="2:106" ht="18" customHeight="1" x14ac:dyDescent="0.2">
      <c r="C38" s="579"/>
      <c r="D38" s="745"/>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6"/>
      <c r="AY38" s="747"/>
      <c r="BB38" s="308" t="s">
        <v>494</v>
      </c>
      <c r="BC38" s="309" t="s">
        <v>565</v>
      </c>
      <c r="BD38" s="93" t="s">
        <v>468</v>
      </c>
      <c r="BE38" s="93">
        <f>ABS(BE36-BE37)</f>
        <v>7000</v>
      </c>
      <c r="BF38" s="93" t="s">
        <v>471</v>
      </c>
      <c r="BG38" s="93" t="s">
        <v>471</v>
      </c>
      <c r="BH38" s="93"/>
      <c r="BI38" s="93" t="s">
        <v>471</v>
      </c>
      <c r="BJ38" s="93"/>
      <c r="BK38" s="93" t="s">
        <v>471</v>
      </c>
      <c r="BL38" s="93"/>
      <c r="BM38" s="93" t="s">
        <v>471</v>
      </c>
      <c r="BN38" s="93"/>
      <c r="BO38" s="93" t="s">
        <v>471</v>
      </c>
      <c r="BP38" s="93"/>
      <c r="BQ38" s="93" t="s">
        <v>471</v>
      </c>
      <c r="BR38" s="93"/>
      <c r="BS38" s="93" t="s">
        <v>471</v>
      </c>
      <c r="BT38" s="93"/>
      <c r="BU38" s="93" t="s">
        <v>471</v>
      </c>
      <c r="BV38" s="93"/>
      <c r="BW38" s="93" t="s">
        <v>471</v>
      </c>
      <c r="BX38" s="93"/>
      <c r="BY38" s="93" t="s">
        <v>471</v>
      </c>
      <c r="BZ38" s="93"/>
      <c r="CA38" s="93" t="s">
        <v>471</v>
      </c>
      <c r="CB38" s="93"/>
      <c r="CC38" s="93" t="s">
        <v>471</v>
      </c>
      <c r="CD38" s="93"/>
      <c r="CE38" s="93" t="s">
        <v>471</v>
      </c>
      <c r="CF38" s="93"/>
      <c r="CG38" s="93" t="s">
        <v>471</v>
      </c>
      <c r="CH38" s="93"/>
      <c r="CI38" s="93" t="s">
        <v>471</v>
      </c>
      <c r="CJ38" s="93"/>
      <c r="CK38" s="93" t="s">
        <v>471</v>
      </c>
      <c r="CL38" s="93"/>
      <c r="CM38" s="93" t="s">
        <v>471</v>
      </c>
      <c r="CN38" s="93"/>
      <c r="CO38" s="93" t="s">
        <v>471</v>
      </c>
      <c r="CP38" s="93"/>
      <c r="CQ38" s="93" t="s">
        <v>471</v>
      </c>
      <c r="CR38" s="93"/>
      <c r="CS38" s="93" t="s">
        <v>471</v>
      </c>
      <c r="CT38" s="93"/>
      <c r="CU38" s="93" t="s">
        <v>471</v>
      </c>
      <c r="CW38" s="213">
        <v>156</v>
      </c>
      <c r="CX38" s="213" t="s">
        <v>34</v>
      </c>
      <c r="CY38" s="213">
        <v>6192000</v>
      </c>
      <c r="CZ38" s="213">
        <v>2813000</v>
      </c>
      <c r="DA38" s="213">
        <v>17170</v>
      </c>
      <c r="DB38" s="213">
        <v>2840000</v>
      </c>
    </row>
    <row r="39" spans="2:106" ht="18" customHeight="1" x14ac:dyDescent="0.2">
      <c r="C39" s="579"/>
      <c r="D39" s="745"/>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7"/>
      <c r="BB39" s="310" t="s">
        <v>450</v>
      </c>
      <c r="BC39" s="311" t="s">
        <v>451</v>
      </c>
      <c r="CW39" s="213">
        <v>344</v>
      </c>
      <c r="CX39" s="213" t="s">
        <v>38</v>
      </c>
      <c r="CY39" s="213"/>
      <c r="CZ39" s="213"/>
      <c r="DA39" s="213"/>
      <c r="DB39" s="213"/>
    </row>
    <row r="40" spans="2:106" ht="18" customHeight="1" x14ac:dyDescent="0.2">
      <c r="C40" s="579"/>
      <c r="D40" s="745"/>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6"/>
      <c r="AU40" s="746"/>
      <c r="AV40" s="746"/>
      <c r="AW40" s="746"/>
      <c r="AX40" s="746"/>
      <c r="AY40" s="747"/>
      <c r="BB40" s="310" t="s">
        <v>452</v>
      </c>
      <c r="BC40" s="311" t="s">
        <v>453</v>
      </c>
      <c r="CW40" s="213">
        <v>446</v>
      </c>
      <c r="CX40" s="213" t="s">
        <v>39</v>
      </c>
      <c r="CY40" s="213"/>
      <c r="CZ40" s="213"/>
      <c r="DA40" s="213"/>
      <c r="DB40" s="213"/>
    </row>
    <row r="41" spans="2:106" ht="18" customHeight="1" x14ac:dyDescent="0.2">
      <c r="C41" s="579"/>
      <c r="D41" s="745"/>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7"/>
      <c r="BB41" s="312" t="s">
        <v>455</v>
      </c>
      <c r="BC41" s="311" t="s">
        <v>457</v>
      </c>
      <c r="BD41" s="313"/>
      <c r="CW41" s="213">
        <v>170</v>
      </c>
      <c r="CX41" s="213" t="s">
        <v>40</v>
      </c>
      <c r="CY41" s="213">
        <v>3699000</v>
      </c>
      <c r="CZ41" s="213">
        <v>2145000</v>
      </c>
      <c r="DA41" s="213">
        <v>215000</v>
      </c>
      <c r="DB41" s="213">
        <v>2360000</v>
      </c>
    </row>
    <row r="42" spans="2:106" ht="18" customHeight="1" x14ac:dyDescent="0.2">
      <c r="C42" s="579"/>
      <c r="D42" s="745"/>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c r="AV42" s="746"/>
      <c r="AW42" s="746"/>
      <c r="AX42" s="746"/>
      <c r="AY42" s="747"/>
      <c r="BB42" s="312" t="s">
        <v>454</v>
      </c>
      <c r="BC42" s="311" t="s">
        <v>412</v>
      </c>
      <c r="BD42" s="313"/>
      <c r="CW42" s="213">
        <v>174</v>
      </c>
      <c r="CX42" s="213" t="s">
        <v>41</v>
      </c>
      <c r="CY42" s="213">
        <v>1675</v>
      </c>
      <c r="CZ42" s="213">
        <v>1200</v>
      </c>
      <c r="DA42" s="213">
        <v>0</v>
      </c>
      <c r="DB42" s="213">
        <v>1200</v>
      </c>
    </row>
    <row r="43" spans="2:106" ht="18" customHeight="1" x14ac:dyDescent="0.2">
      <c r="C43" s="579"/>
      <c r="D43" s="745"/>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46"/>
      <c r="AX43" s="746"/>
      <c r="AY43" s="747"/>
      <c r="BB43" s="310" t="s">
        <v>456</v>
      </c>
      <c r="BC43" s="311" t="s">
        <v>458</v>
      </c>
      <c r="BD43" s="313"/>
      <c r="CW43" s="213">
        <v>178</v>
      </c>
      <c r="CX43" s="213" t="s">
        <v>42</v>
      </c>
      <c r="CY43" s="213">
        <v>562900</v>
      </c>
      <c r="CZ43" s="213">
        <v>222000</v>
      </c>
      <c r="DA43" s="213">
        <v>52000</v>
      </c>
      <c r="DB43" s="213">
        <v>832000</v>
      </c>
    </row>
    <row r="44" spans="2:106" ht="18" customHeight="1" x14ac:dyDescent="0.2">
      <c r="C44" s="579"/>
      <c r="D44" s="745"/>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6"/>
      <c r="AS44" s="746"/>
      <c r="AT44" s="746"/>
      <c r="AU44" s="746"/>
      <c r="AV44" s="746"/>
      <c r="AW44" s="746"/>
      <c r="AX44" s="746"/>
      <c r="AY44" s="747"/>
      <c r="BD44" s="313"/>
      <c r="CW44" s="213">
        <v>188</v>
      </c>
      <c r="CX44" s="213" t="s">
        <v>43</v>
      </c>
      <c r="CY44" s="213">
        <v>149500</v>
      </c>
      <c r="CZ44" s="213">
        <v>113000</v>
      </c>
      <c r="DA44" s="213">
        <v>0</v>
      </c>
      <c r="DB44" s="213">
        <v>113000</v>
      </c>
    </row>
    <row r="45" spans="2:106" ht="18" customHeight="1" x14ac:dyDescent="0.2">
      <c r="C45" s="579"/>
      <c r="D45" s="745"/>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6"/>
      <c r="AU45" s="746"/>
      <c r="AV45" s="746"/>
      <c r="AW45" s="746"/>
      <c r="AX45" s="746"/>
      <c r="AY45" s="747"/>
      <c r="CW45" s="213">
        <v>384</v>
      </c>
      <c r="CX45" s="213" t="s">
        <v>148</v>
      </c>
      <c r="CY45" s="213">
        <v>434700</v>
      </c>
      <c r="CZ45" s="213">
        <v>76840</v>
      </c>
      <c r="DA45" s="213">
        <v>4300</v>
      </c>
      <c r="DB45" s="213">
        <v>84140</v>
      </c>
    </row>
    <row r="46" spans="2:106" ht="18" customHeight="1" x14ac:dyDescent="0.2">
      <c r="C46" s="579"/>
      <c r="D46" s="745"/>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6"/>
      <c r="AU46" s="746"/>
      <c r="AV46" s="746"/>
      <c r="AW46" s="746"/>
      <c r="AX46" s="746"/>
      <c r="AY46" s="747"/>
      <c r="BD46" s="313"/>
      <c r="CW46" s="213">
        <v>191</v>
      </c>
      <c r="CX46" s="213" t="s">
        <v>44</v>
      </c>
      <c r="CY46" s="213">
        <v>62980</v>
      </c>
      <c r="CZ46" s="213">
        <v>37700</v>
      </c>
      <c r="DA46" s="213">
        <v>33470</v>
      </c>
      <c r="DB46" s="213">
        <v>105500</v>
      </c>
    </row>
    <row r="47" spans="2:106" ht="18" customHeight="1" x14ac:dyDescent="0.2">
      <c r="C47" s="579"/>
      <c r="D47" s="745"/>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6"/>
      <c r="AY47" s="747"/>
      <c r="BB47" s="313"/>
      <c r="BC47" s="313"/>
      <c r="BD47" s="313"/>
      <c r="CW47" s="213">
        <v>192</v>
      </c>
      <c r="CX47" s="213" t="s">
        <v>45</v>
      </c>
      <c r="CY47" s="213">
        <v>146700</v>
      </c>
      <c r="CZ47" s="213">
        <v>38120</v>
      </c>
      <c r="DA47" s="213">
        <v>0</v>
      </c>
      <c r="DB47" s="213">
        <v>38120</v>
      </c>
    </row>
    <row r="48" spans="2:106" ht="18" customHeight="1" x14ac:dyDescent="0.2">
      <c r="C48" s="579"/>
      <c r="D48" s="745"/>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6"/>
      <c r="AX48" s="746"/>
      <c r="AY48" s="747"/>
      <c r="CW48" s="213">
        <v>196</v>
      </c>
      <c r="CX48" s="213" t="s">
        <v>46</v>
      </c>
      <c r="CY48" s="213">
        <v>4606</v>
      </c>
      <c r="CZ48" s="213">
        <v>780</v>
      </c>
      <c r="DA48" s="213">
        <v>0</v>
      </c>
      <c r="DB48" s="213">
        <v>780</v>
      </c>
    </row>
    <row r="49" spans="3:106" ht="18" customHeight="1" x14ac:dyDescent="0.2">
      <c r="C49" s="579"/>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6"/>
      <c r="AU49" s="746"/>
      <c r="AV49" s="746"/>
      <c r="AW49" s="746"/>
      <c r="AX49" s="746"/>
      <c r="AY49" s="747"/>
      <c r="CW49" s="213">
        <v>408</v>
      </c>
      <c r="CX49" s="213" t="s">
        <v>149</v>
      </c>
      <c r="CY49" s="213">
        <v>127000</v>
      </c>
      <c r="CZ49" s="213">
        <v>67000</v>
      </c>
      <c r="DA49" s="213">
        <v>0</v>
      </c>
      <c r="DB49" s="213">
        <v>77150</v>
      </c>
    </row>
    <row r="50" spans="3:106" ht="18" customHeight="1" x14ac:dyDescent="0.2">
      <c r="C50" s="579"/>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6"/>
      <c r="AU50" s="746"/>
      <c r="AV50" s="746"/>
      <c r="AW50" s="746"/>
      <c r="AX50" s="746"/>
      <c r="AY50" s="747"/>
      <c r="CW50" s="213">
        <v>180</v>
      </c>
      <c r="CX50" s="213" t="s">
        <v>150</v>
      </c>
      <c r="CY50" s="213">
        <v>3618000</v>
      </c>
      <c r="CZ50" s="213">
        <v>900000</v>
      </c>
      <c r="DA50" s="213">
        <v>383000</v>
      </c>
      <c r="DB50" s="213">
        <v>1283000</v>
      </c>
    </row>
    <row r="51" spans="3:106" ht="18" customHeight="1" x14ac:dyDescent="0.2">
      <c r="C51" s="579"/>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6"/>
      <c r="AY51" s="747"/>
      <c r="CW51" s="213">
        <v>262</v>
      </c>
      <c r="CX51" s="213" t="s">
        <v>47</v>
      </c>
      <c r="CY51" s="213">
        <v>5104</v>
      </c>
      <c r="CZ51" s="213">
        <v>300</v>
      </c>
      <c r="DA51" s="213">
        <v>0</v>
      </c>
      <c r="DB51" s="213">
        <v>300</v>
      </c>
    </row>
    <row r="52" spans="3:106" ht="18" customHeight="1" x14ac:dyDescent="0.2">
      <c r="C52" s="579"/>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6"/>
      <c r="AU52" s="746"/>
      <c r="AV52" s="746"/>
      <c r="AW52" s="746"/>
      <c r="AX52" s="746"/>
      <c r="AY52" s="747"/>
      <c r="CW52" s="213">
        <v>212</v>
      </c>
      <c r="CX52" s="213" t="s">
        <v>48</v>
      </c>
      <c r="CY52" s="213">
        <v>1562</v>
      </c>
      <c r="CZ52" s="213">
        <v>200</v>
      </c>
      <c r="DA52" s="213">
        <v>0</v>
      </c>
      <c r="DB52" s="213">
        <v>200</v>
      </c>
    </row>
    <row r="53" spans="3:106" ht="18" customHeight="1" x14ac:dyDescent="0.2">
      <c r="C53" s="579"/>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6"/>
      <c r="AU53" s="746"/>
      <c r="AV53" s="746"/>
      <c r="AW53" s="746"/>
      <c r="AX53" s="746"/>
      <c r="AY53" s="747"/>
      <c r="CW53" s="213">
        <v>214</v>
      </c>
      <c r="CX53" s="213" t="s">
        <v>49</v>
      </c>
      <c r="CY53" s="213">
        <v>68620</v>
      </c>
      <c r="CZ53" s="213">
        <v>23500</v>
      </c>
      <c r="DA53" s="213">
        <v>0</v>
      </c>
      <c r="DB53" s="213">
        <v>23500</v>
      </c>
    </row>
    <row r="54" spans="3:106" ht="18" customHeight="1" x14ac:dyDescent="0.2">
      <c r="C54" s="579"/>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6"/>
      <c r="AS54" s="746"/>
      <c r="AT54" s="746"/>
      <c r="AU54" s="746"/>
      <c r="AV54" s="746"/>
      <c r="AW54" s="746"/>
      <c r="AX54" s="746"/>
      <c r="AY54" s="747"/>
      <c r="CW54" s="213">
        <v>218</v>
      </c>
      <c r="CX54" s="213" t="s">
        <v>50</v>
      </c>
      <c r="CY54" s="213">
        <v>535000</v>
      </c>
      <c r="CZ54" s="213">
        <v>442400</v>
      </c>
      <c r="DA54" s="213">
        <v>0</v>
      </c>
      <c r="DB54" s="213">
        <v>442400</v>
      </c>
    </row>
    <row r="55" spans="3:106" ht="18" customHeight="1" x14ac:dyDescent="0.2">
      <c r="C55" s="579"/>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6"/>
      <c r="AU55" s="746"/>
      <c r="AV55" s="746"/>
      <c r="AW55" s="746"/>
      <c r="AX55" s="746"/>
      <c r="AY55" s="747"/>
      <c r="CW55" s="213">
        <v>818</v>
      </c>
      <c r="CX55" s="213" t="s">
        <v>51</v>
      </c>
      <c r="CY55" s="213">
        <v>51070</v>
      </c>
      <c r="CZ55" s="213">
        <v>1800</v>
      </c>
      <c r="DA55" s="213">
        <v>85000</v>
      </c>
      <c r="DB55" s="213">
        <v>58300</v>
      </c>
    </row>
    <row r="56" spans="3:106" ht="18" customHeight="1" x14ac:dyDescent="0.2">
      <c r="C56" s="579"/>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6"/>
      <c r="AY56" s="747"/>
      <c r="CW56" s="213">
        <v>222</v>
      </c>
      <c r="CX56" s="213" t="s">
        <v>52</v>
      </c>
      <c r="CY56" s="213">
        <v>37540</v>
      </c>
      <c r="CZ56" s="213">
        <v>15630</v>
      </c>
      <c r="DA56" s="213">
        <v>10640</v>
      </c>
      <c r="DB56" s="213">
        <v>26270</v>
      </c>
    </row>
    <row r="57" spans="3:106" ht="18" customHeight="1" x14ac:dyDescent="0.2">
      <c r="C57" s="580"/>
      <c r="D57" s="765"/>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6"/>
      <c r="AL57" s="766"/>
      <c r="AM57" s="766"/>
      <c r="AN57" s="766"/>
      <c r="AO57" s="766"/>
      <c r="AP57" s="766"/>
      <c r="AQ57" s="766"/>
      <c r="AR57" s="766"/>
      <c r="AS57" s="766"/>
      <c r="AT57" s="766"/>
      <c r="AU57" s="766"/>
      <c r="AV57" s="766"/>
      <c r="AW57" s="766"/>
      <c r="AX57" s="766"/>
      <c r="AY57" s="767"/>
      <c r="CW57" s="213">
        <v>226</v>
      </c>
      <c r="CX57" s="213" t="s">
        <v>53</v>
      </c>
      <c r="CY57" s="213">
        <v>60480</v>
      </c>
      <c r="CZ57" s="213">
        <v>26000</v>
      </c>
      <c r="DA57" s="213">
        <v>0</v>
      </c>
      <c r="DB57" s="213">
        <v>26000</v>
      </c>
    </row>
    <row r="58" spans="3:106" x14ac:dyDescent="0.2">
      <c r="C58" s="763"/>
      <c r="D58" s="764"/>
      <c r="E58" s="764"/>
      <c r="F58" s="764"/>
      <c r="G58" s="764"/>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64"/>
      <c r="AL58" s="764"/>
      <c r="AM58" s="764"/>
      <c r="AN58" s="764"/>
      <c r="AO58" s="764"/>
      <c r="AP58" s="210"/>
      <c r="AQ58" s="210"/>
      <c r="AR58" s="210"/>
      <c r="AS58" s="210"/>
      <c r="CW58" s="213">
        <v>232</v>
      </c>
      <c r="CX58" s="213" t="s">
        <v>54</v>
      </c>
      <c r="CY58" s="213">
        <v>45160</v>
      </c>
      <c r="CZ58" s="213">
        <v>2800</v>
      </c>
      <c r="DA58" s="213">
        <v>0</v>
      </c>
      <c r="DB58" s="213">
        <v>6300</v>
      </c>
    </row>
    <row r="59" spans="3:106" x14ac:dyDescent="0.2">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c r="AL59" s="764"/>
      <c r="AM59" s="764"/>
      <c r="AN59" s="764"/>
      <c r="AO59" s="764"/>
      <c r="AP59" s="210"/>
      <c r="AQ59" s="210"/>
      <c r="AR59" s="210"/>
      <c r="AS59" s="210"/>
      <c r="CW59" s="213">
        <v>231</v>
      </c>
      <c r="CX59" s="213" t="s">
        <v>55</v>
      </c>
      <c r="CY59" s="213">
        <v>936400</v>
      </c>
      <c r="CZ59" s="213">
        <v>122000</v>
      </c>
      <c r="DA59" s="213">
        <v>0</v>
      </c>
      <c r="DB59" s="213">
        <v>122000</v>
      </c>
    </row>
    <row r="60" spans="3:106" x14ac:dyDescent="0.2">
      <c r="CW60" s="213">
        <v>234</v>
      </c>
      <c r="CX60" s="213" t="s">
        <v>618</v>
      </c>
      <c r="CY60" s="213"/>
      <c r="CZ60" s="213"/>
      <c r="DA60" s="213">
        <v>0</v>
      </c>
      <c r="DB60" s="213"/>
    </row>
    <row r="61" spans="3:106" x14ac:dyDescent="0.2">
      <c r="CW61" s="213">
        <v>242</v>
      </c>
      <c r="CX61" s="213" t="s">
        <v>56</v>
      </c>
      <c r="CY61" s="213">
        <v>47360</v>
      </c>
      <c r="CZ61" s="213">
        <v>28550</v>
      </c>
      <c r="DA61" s="213">
        <v>0</v>
      </c>
      <c r="DB61" s="213">
        <v>28550</v>
      </c>
    </row>
    <row r="62" spans="3:106" x14ac:dyDescent="0.2">
      <c r="CW62" s="213">
        <v>254</v>
      </c>
      <c r="CX62" s="213" t="s">
        <v>57</v>
      </c>
      <c r="CY62" s="213"/>
      <c r="CZ62" s="213"/>
      <c r="DA62" s="213"/>
      <c r="DB62" s="213"/>
    </row>
    <row r="63" spans="3:106" x14ac:dyDescent="0.2">
      <c r="CW63" s="213">
        <v>266</v>
      </c>
      <c r="CX63" s="213" t="s">
        <v>58</v>
      </c>
      <c r="CY63" s="213">
        <v>490100</v>
      </c>
      <c r="CZ63" s="213">
        <v>164000</v>
      </c>
      <c r="DA63" s="213">
        <v>200</v>
      </c>
      <c r="DB63" s="213">
        <v>166000</v>
      </c>
    </row>
    <row r="64" spans="3:106" x14ac:dyDescent="0.2">
      <c r="CW64" s="213">
        <v>270</v>
      </c>
      <c r="CX64" s="213" t="s">
        <v>59</v>
      </c>
      <c r="CY64" s="213">
        <v>9447</v>
      </c>
      <c r="CZ64" s="213">
        <v>3000</v>
      </c>
      <c r="DA64" s="213">
        <v>5000</v>
      </c>
      <c r="DB64" s="213">
        <v>8000</v>
      </c>
    </row>
    <row r="65" spans="101:106" x14ac:dyDescent="0.2">
      <c r="CW65" s="213">
        <v>268</v>
      </c>
      <c r="CX65" s="213" t="s">
        <v>60</v>
      </c>
      <c r="CY65" s="213">
        <v>71510</v>
      </c>
      <c r="CZ65" s="213">
        <v>58130</v>
      </c>
      <c r="DA65" s="213">
        <v>8350</v>
      </c>
      <c r="DB65" s="213">
        <v>63330</v>
      </c>
    </row>
    <row r="66" spans="101:106" x14ac:dyDescent="0.2">
      <c r="CW66" s="213">
        <v>288</v>
      </c>
      <c r="CX66" s="213" t="s">
        <v>61</v>
      </c>
      <c r="CY66" s="213">
        <v>283100</v>
      </c>
      <c r="CZ66" s="213">
        <v>30300</v>
      </c>
      <c r="DA66" s="213">
        <v>25900</v>
      </c>
      <c r="DB66" s="213">
        <v>56200</v>
      </c>
    </row>
    <row r="67" spans="101:106" x14ac:dyDescent="0.2">
      <c r="CW67" s="213">
        <v>304</v>
      </c>
      <c r="CX67" s="213" t="s">
        <v>62</v>
      </c>
      <c r="CY67" s="213"/>
      <c r="CZ67" s="213"/>
      <c r="DA67" s="213"/>
      <c r="DB67" s="213"/>
    </row>
    <row r="68" spans="101:106" x14ac:dyDescent="0.2">
      <c r="CW68" s="213">
        <v>308</v>
      </c>
      <c r="CX68" s="213" t="s">
        <v>63</v>
      </c>
      <c r="CY68" s="213">
        <v>799</v>
      </c>
      <c r="CZ68" s="213">
        <v>200</v>
      </c>
      <c r="DA68" s="213">
        <v>0</v>
      </c>
      <c r="DB68" s="213">
        <v>200</v>
      </c>
    </row>
    <row r="69" spans="101:106" x14ac:dyDescent="0.2">
      <c r="CW69" s="213">
        <v>312</v>
      </c>
      <c r="CX69" s="213" t="s">
        <v>64</v>
      </c>
      <c r="CY69" s="213"/>
      <c r="CZ69" s="213"/>
      <c r="DA69" s="213"/>
      <c r="DB69" s="213"/>
    </row>
    <row r="70" spans="101:106" x14ac:dyDescent="0.2">
      <c r="CW70" s="213">
        <v>320</v>
      </c>
      <c r="CX70" s="213" t="s">
        <v>65</v>
      </c>
      <c r="CY70" s="213">
        <v>217300</v>
      </c>
      <c r="CZ70" s="213">
        <v>109200</v>
      </c>
      <c r="DA70" s="213">
        <v>18710</v>
      </c>
      <c r="DB70" s="213">
        <v>127900</v>
      </c>
    </row>
    <row r="71" spans="101:106" x14ac:dyDescent="0.2">
      <c r="CW71" s="213">
        <v>324</v>
      </c>
      <c r="CX71" s="213" t="s">
        <v>66</v>
      </c>
      <c r="CY71" s="213">
        <v>405900</v>
      </c>
      <c r="CZ71" s="213">
        <v>226000</v>
      </c>
      <c r="DA71" s="213">
        <v>0</v>
      </c>
      <c r="DB71" s="213">
        <v>226000</v>
      </c>
    </row>
    <row r="72" spans="101:106" x14ac:dyDescent="0.2">
      <c r="CW72" s="213">
        <v>624</v>
      </c>
      <c r="CX72" s="213" t="s">
        <v>67</v>
      </c>
      <c r="CY72" s="213">
        <v>56980</v>
      </c>
      <c r="CZ72" s="213">
        <v>16000</v>
      </c>
      <c r="DA72" s="213">
        <v>15400</v>
      </c>
      <c r="DB72" s="213">
        <v>31400</v>
      </c>
    </row>
    <row r="73" spans="101:106" x14ac:dyDescent="0.2">
      <c r="CW73" s="213">
        <v>328</v>
      </c>
      <c r="CX73" s="213" t="s">
        <v>73</v>
      </c>
      <c r="CY73" s="213">
        <v>513100</v>
      </c>
      <c r="CZ73" s="213">
        <v>241000</v>
      </c>
      <c r="DA73" s="213">
        <v>30000</v>
      </c>
      <c r="DB73" s="213">
        <v>271000</v>
      </c>
    </row>
    <row r="74" spans="101:106" x14ac:dyDescent="0.2">
      <c r="CW74" s="213">
        <v>332</v>
      </c>
      <c r="CX74" s="213" t="s">
        <v>74</v>
      </c>
      <c r="CY74" s="213">
        <v>39960</v>
      </c>
      <c r="CZ74" s="213">
        <v>13010</v>
      </c>
      <c r="DA74" s="213">
        <v>1015</v>
      </c>
      <c r="DB74" s="213">
        <v>14030</v>
      </c>
    </row>
    <row r="75" spans="101:106" x14ac:dyDescent="0.2">
      <c r="CW75" s="213">
        <v>336</v>
      </c>
      <c r="CX75" s="213" t="s">
        <v>619</v>
      </c>
      <c r="CY75" s="213"/>
      <c r="CZ75" s="213"/>
      <c r="DA75" s="213"/>
      <c r="DB75" s="213"/>
    </row>
    <row r="76" spans="101:106" x14ac:dyDescent="0.2">
      <c r="CW76" s="213">
        <v>340</v>
      </c>
      <c r="CX76" s="213" t="s">
        <v>75</v>
      </c>
      <c r="CY76" s="213">
        <v>222300</v>
      </c>
      <c r="CZ76" s="213">
        <v>90660</v>
      </c>
      <c r="DA76" s="213">
        <v>1504</v>
      </c>
      <c r="DB76" s="213">
        <v>92160</v>
      </c>
    </row>
    <row r="77" spans="101:106" x14ac:dyDescent="0.2">
      <c r="CW77" s="213">
        <v>356</v>
      </c>
      <c r="CX77" s="213" t="s">
        <v>76</v>
      </c>
      <c r="CY77" s="213">
        <v>3560000</v>
      </c>
      <c r="CZ77" s="213">
        <v>1446000</v>
      </c>
      <c r="DA77" s="213">
        <v>635200</v>
      </c>
      <c r="DB77" s="213">
        <v>1911000</v>
      </c>
    </row>
    <row r="78" spans="101:106" x14ac:dyDescent="0.2">
      <c r="CW78" s="213">
        <v>360</v>
      </c>
      <c r="CX78" s="213" t="s">
        <v>77</v>
      </c>
      <c r="CY78" s="213">
        <v>5163000</v>
      </c>
      <c r="CZ78" s="213">
        <v>2019000</v>
      </c>
      <c r="DA78" s="213">
        <v>0</v>
      </c>
      <c r="DB78" s="213">
        <v>2019000</v>
      </c>
    </row>
    <row r="79" spans="101:106" x14ac:dyDescent="0.2">
      <c r="CW79" s="213">
        <v>364</v>
      </c>
      <c r="CX79" s="213" t="s">
        <v>78</v>
      </c>
      <c r="CY79" s="213">
        <v>397900</v>
      </c>
      <c r="CZ79" s="213">
        <v>128500</v>
      </c>
      <c r="DA79" s="213">
        <v>7770</v>
      </c>
      <c r="DB79" s="213">
        <v>137000</v>
      </c>
    </row>
    <row r="80" spans="101:106" x14ac:dyDescent="0.2">
      <c r="CW80" s="213">
        <v>368</v>
      </c>
      <c r="CX80" s="213" t="s">
        <v>79</v>
      </c>
      <c r="CY80" s="213">
        <v>94010</v>
      </c>
      <c r="CZ80" s="213">
        <v>35200</v>
      </c>
      <c r="DA80" s="213">
        <v>61410</v>
      </c>
      <c r="DB80" s="213">
        <v>89860</v>
      </c>
    </row>
    <row r="81" spans="101:106" x14ac:dyDescent="0.2">
      <c r="CW81" s="213">
        <v>376</v>
      </c>
      <c r="CX81" s="213" t="s">
        <v>80</v>
      </c>
      <c r="CY81" s="213">
        <v>9600</v>
      </c>
      <c r="CZ81" s="213">
        <v>750</v>
      </c>
      <c r="DA81" s="213">
        <v>1030</v>
      </c>
      <c r="DB81" s="213">
        <v>1780</v>
      </c>
    </row>
    <row r="82" spans="101:106" x14ac:dyDescent="0.2">
      <c r="CW82" s="213">
        <v>388</v>
      </c>
      <c r="CX82" s="213" t="s">
        <v>81</v>
      </c>
      <c r="CY82" s="213">
        <v>22540</v>
      </c>
      <c r="CZ82" s="213">
        <v>10820</v>
      </c>
      <c r="DA82" s="213">
        <v>0</v>
      </c>
      <c r="DB82" s="213">
        <v>10820</v>
      </c>
    </row>
    <row r="83" spans="101:106" x14ac:dyDescent="0.2">
      <c r="CW83" s="213">
        <v>400</v>
      </c>
      <c r="CX83" s="213" t="s">
        <v>82</v>
      </c>
      <c r="CY83" s="213">
        <v>9915</v>
      </c>
      <c r="CZ83" s="213">
        <v>682</v>
      </c>
      <c r="DA83" s="213">
        <v>670</v>
      </c>
      <c r="DB83" s="213">
        <v>937</v>
      </c>
    </row>
    <row r="84" spans="101:106" x14ac:dyDescent="0.2">
      <c r="CW84" s="213">
        <v>398</v>
      </c>
      <c r="CX84" s="213" t="s">
        <v>83</v>
      </c>
      <c r="CY84" s="213">
        <v>681200</v>
      </c>
      <c r="CZ84" s="213">
        <v>64350</v>
      </c>
      <c r="DA84" s="213">
        <v>72040</v>
      </c>
      <c r="DB84" s="213">
        <v>108400</v>
      </c>
    </row>
    <row r="85" spans="101:106" x14ac:dyDescent="0.2">
      <c r="CW85" s="213">
        <v>404</v>
      </c>
      <c r="CX85" s="213" t="s">
        <v>84</v>
      </c>
      <c r="CY85" s="213">
        <v>365600</v>
      </c>
      <c r="CZ85" s="213">
        <v>20700</v>
      </c>
      <c r="DA85" s="213">
        <v>10000</v>
      </c>
      <c r="DB85" s="213">
        <v>30700</v>
      </c>
    </row>
    <row r="86" spans="101:106" x14ac:dyDescent="0.2">
      <c r="CW86" s="213">
        <v>296</v>
      </c>
      <c r="CX86" s="213" t="s">
        <v>151</v>
      </c>
      <c r="CY86" s="213"/>
      <c r="CZ86" s="213"/>
      <c r="DA86" s="213">
        <v>0</v>
      </c>
      <c r="DB86" s="213"/>
    </row>
    <row r="87" spans="101:106" x14ac:dyDescent="0.2">
      <c r="CW87" s="213">
        <v>414</v>
      </c>
      <c r="CX87" s="213" t="s">
        <v>85</v>
      </c>
      <c r="CY87" s="213">
        <v>2156</v>
      </c>
      <c r="CZ87" s="213">
        <v>0</v>
      </c>
      <c r="DA87" s="213">
        <v>20</v>
      </c>
      <c r="DB87" s="213">
        <v>20</v>
      </c>
    </row>
    <row r="88" spans="101:106" x14ac:dyDescent="0.2">
      <c r="CW88" s="213">
        <v>417</v>
      </c>
      <c r="CX88" s="213" t="s">
        <v>86</v>
      </c>
      <c r="CY88" s="213">
        <v>106600</v>
      </c>
      <c r="CZ88" s="213">
        <v>48930</v>
      </c>
      <c r="DA88" s="213">
        <v>558</v>
      </c>
      <c r="DB88" s="213">
        <v>23620</v>
      </c>
    </row>
    <row r="89" spans="101:106" x14ac:dyDescent="0.2">
      <c r="CW89" s="213">
        <v>418</v>
      </c>
      <c r="CX89" s="213" t="s">
        <v>152</v>
      </c>
      <c r="CY89" s="213">
        <v>434300</v>
      </c>
      <c r="CZ89" s="213">
        <v>190400</v>
      </c>
      <c r="DA89" s="213">
        <v>143100</v>
      </c>
      <c r="DB89" s="213">
        <v>333500</v>
      </c>
    </row>
    <row r="90" spans="101:106" x14ac:dyDescent="0.2">
      <c r="CW90" s="213">
        <v>428</v>
      </c>
      <c r="CX90" s="213" t="s">
        <v>87</v>
      </c>
      <c r="CY90" s="213">
        <v>43010</v>
      </c>
      <c r="CZ90" s="213">
        <v>16940</v>
      </c>
      <c r="DA90" s="213">
        <v>18000</v>
      </c>
      <c r="DB90" s="213">
        <v>34940</v>
      </c>
    </row>
    <row r="91" spans="101:106" x14ac:dyDescent="0.2">
      <c r="CW91" s="213">
        <v>422</v>
      </c>
      <c r="CX91" s="213" t="s">
        <v>88</v>
      </c>
      <c r="CY91" s="213">
        <v>6907</v>
      </c>
      <c r="CZ91" s="213">
        <v>4800</v>
      </c>
      <c r="DA91" s="213">
        <v>0</v>
      </c>
      <c r="DB91" s="213">
        <v>4503</v>
      </c>
    </row>
    <row r="92" spans="101:106" x14ac:dyDescent="0.2">
      <c r="CW92" s="213">
        <v>426</v>
      </c>
      <c r="CX92" s="213" t="s">
        <v>89</v>
      </c>
      <c r="CY92" s="213">
        <v>23920</v>
      </c>
      <c r="CZ92" s="213">
        <v>5230</v>
      </c>
      <c r="DA92" s="213">
        <v>0</v>
      </c>
      <c r="DB92" s="213">
        <v>3022</v>
      </c>
    </row>
    <row r="93" spans="101:106" x14ac:dyDescent="0.2">
      <c r="CW93" s="213">
        <v>430</v>
      </c>
      <c r="CX93" s="213" t="s">
        <v>90</v>
      </c>
      <c r="CY93" s="213">
        <v>266300</v>
      </c>
      <c r="CZ93" s="213">
        <v>200000</v>
      </c>
      <c r="DA93" s="213">
        <v>32000</v>
      </c>
      <c r="DB93" s="213">
        <v>232000</v>
      </c>
    </row>
    <row r="94" spans="101:106" x14ac:dyDescent="0.2">
      <c r="CW94" s="213">
        <v>434</v>
      </c>
      <c r="CX94" s="213" t="s">
        <v>153</v>
      </c>
      <c r="CY94" s="213">
        <v>98530</v>
      </c>
      <c r="CZ94" s="213">
        <v>700</v>
      </c>
      <c r="DA94" s="213">
        <v>0</v>
      </c>
      <c r="DB94" s="213">
        <v>700</v>
      </c>
    </row>
    <row r="95" spans="101:106" x14ac:dyDescent="0.2">
      <c r="CW95" s="213">
        <v>438</v>
      </c>
      <c r="CX95" s="213" t="s">
        <v>154</v>
      </c>
      <c r="CY95" s="213"/>
      <c r="CZ95" s="213"/>
      <c r="DA95" s="213"/>
      <c r="DB95" s="213"/>
    </row>
    <row r="96" spans="101:106" x14ac:dyDescent="0.2">
      <c r="CW96" s="213">
        <v>440</v>
      </c>
      <c r="CX96" s="213" t="s">
        <v>91</v>
      </c>
      <c r="CY96" s="213">
        <v>42840</v>
      </c>
      <c r="CZ96" s="213">
        <v>15460</v>
      </c>
      <c r="DA96" s="213">
        <v>9040</v>
      </c>
      <c r="DB96" s="213">
        <v>24500</v>
      </c>
    </row>
    <row r="97" spans="101:106" x14ac:dyDescent="0.2">
      <c r="CW97" s="213">
        <v>450</v>
      </c>
      <c r="CX97" s="213" t="s">
        <v>92</v>
      </c>
      <c r="CY97" s="213">
        <v>888600</v>
      </c>
      <c r="CZ97" s="213">
        <v>337000</v>
      </c>
      <c r="DA97" s="213">
        <v>0</v>
      </c>
      <c r="DB97" s="213">
        <v>337000</v>
      </c>
    </row>
    <row r="98" spans="101:106" x14ac:dyDescent="0.2">
      <c r="CW98" s="213">
        <v>454</v>
      </c>
      <c r="CX98" s="213" t="s">
        <v>93</v>
      </c>
      <c r="CY98" s="213">
        <v>139900</v>
      </c>
      <c r="CZ98" s="213">
        <v>16140</v>
      </c>
      <c r="DA98" s="213">
        <v>1000</v>
      </c>
      <c r="DB98" s="213">
        <v>17280</v>
      </c>
    </row>
    <row r="99" spans="101:106" x14ac:dyDescent="0.2">
      <c r="CW99" s="213">
        <v>458</v>
      </c>
      <c r="CX99" s="213" t="s">
        <v>94</v>
      </c>
      <c r="CY99" s="213">
        <v>951000</v>
      </c>
      <c r="CZ99" s="213">
        <v>580000</v>
      </c>
      <c r="DA99" s="213">
        <v>0</v>
      </c>
      <c r="DB99" s="213">
        <v>580000</v>
      </c>
    </row>
    <row r="100" spans="101:106" x14ac:dyDescent="0.2">
      <c r="CW100" s="213">
        <v>462</v>
      </c>
      <c r="CX100" s="213" t="s">
        <v>95</v>
      </c>
      <c r="CY100" s="213">
        <v>591.6</v>
      </c>
      <c r="CZ100" s="213">
        <v>30</v>
      </c>
      <c r="DA100" s="213">
        <v>0</v>
      </c>
      <c r="DB100" s="213">
        <v>30</v>
      </c>
    </row>
    <row r="101" spans="101:106" x14ac:dyDescent="0.2">
      <c r="CW101" s="213">
        <v>466</v>
      </c>
      <c r="CX101" s="213" t="s">
        <v>96</v>
      </c>
      <c r="CY101" s="213">
        <v>349700</v>
      </c>
      <c r="CZ101" s="213">
        <v>60000</v>
      </c>
      <c r="DA101" s="213">
        <v>60000</v>
      </c>
      <c r="DB101" s="213">
        <v>120000</v>
      </c>
    </row>
    <row r="102" spans="101:106" x14ac:dyDescent="0.2">
      <c r="CW102" s="213">
        <v>470</v>
      </c>
      <c r="CX102" s="213" t="s">
        <v>97</v>
      </c>
      <c r="CY102" s="213">
        <v>179.2</v>
      </c>
      <c r="CZ102" s="213">
        <v>50.5</v>
      </c>
      <c r="DA102" s="213">
        <v>0</v>
      </c>
      <c r="DB102" s="213">
        <v>50.5</v>
      </c>
    </row>
    <row r="103" spans="101:106" x14ac:dyDescent="0.2">
      <c r="CW103" s="213">
        <v>584</v>
      </c>
      <c r="CX103" s="213" t="s">
        <v>155</v>
      </c>
      <c r="CY103" s="213"/>
      <c r="CZ103" s="213">
        <v>0</v>
      </c>
      <c r="DA103" s="213">
        <v>0</v>
      </c>
      <c r="DB103" s="213">
        <v>0</v>
      </c>
    </row>
    <row r="104" spans="101:106" x14ac:dyDescent="0.2">
      <c r="CW104" s="213">
        <v>474</v>
      </c>
      <c r="CX104" s="213" t="s">
        <v>98</v>
      </c>
      <c r="CY104" s="213"/>
      <c r="CZ104" s="213"/>
      <c r="DA104" s="213"/>
      <c r="DB104" s="213"/>
    </row>
    <row r="105" spans="101:106" x14ac:dyDescent="0.2">
      <c r="CW105" s="213">
        <v>478</v>
      </c>
      <c r="CX105" s="213" t="s">
        <v>99</v>
      </c>
      <c r="CY105" s="213">
        <v>94820</v>
      </c>
      <c r="CZ105" s="213">
        <v>400</v>
      </c>
      <c r="DA105" s="213">
        <v>0</v>
      </c>
      <c r="DB105" s="213">
        <v>11400</v>
      </c>
    </row>
    <row r="106" spans="101:106" x14ac:dyDescent="0.2">
      <c r="CW106" s="213">
        <v>480</v>
      </c>
      <c r="CX106" s="213" t="s">
        <v>100</v>
      </c>
      <c r="CY106" s="213">
        <v>4164</v>
      </c>
      <c r="CZ106" s="213">
        <v>2751</v>
      </c>
      <c r="DA106" s="213">
        <v>0</v>
      </c>
      <c r="DB106" s="213">
        <v>2751</v>
      </c>
    </row>
    <row r="107" spans="101:106" x14ac:dyDescent="0.2">
      <c r="CW107" s="213">
        <v>583</v>
      </c>
      <c r="CX107" s="213" t="s">
        <v>156</v>
      </c>
      <c r="CY107" s="213"/>
      <c r="CZ107" s="213"/>
      <c r="DA107" s="213">
        <v>0</v>
      </c>
      <c r="DB107" s="213"/>
    </row>
    <row r="108" spans="101:106" x14ac:dyDescent="0.2">
      <c r="CW108" s="213">
        <v>492</v>
      </c>
      <c r="CX108" s="213" t="s">
        <v>157</v>
      </c>
      <c r="CY108" s="213"/>
      <c r="CZ108" s="213"/>
      <c r="DA108" s="213"/>
      <c r="DB108" s="213"/>
    </row>
    <row r="109" spans="101:106" x14ac:dyDescent="0.2">
      <c r="CW109" s="213">
        <v>496</v>
      </c>
      <c r="CX109" s="213" t="s">
        <v>101</v>
      </c>
      <c r="CY109" s="213">
        <v>377000</v>
      </c>
      <c r="CZ109" s="213">
        <v>34800</v>
      </c>
      <c r="DA109" s="213">
        <v>0</v>
      </c>
      <c r="DB109" s="213">
        <v>34800</v>
      </c>
    </row>
    <row r="110" spans="101:106" x14ac:dyDescent="0.2">
      <c r="CW110" s="213">
        <v>499</v>
      </c>
      <c r="CX110" s="213" t="s">
        <v>158</v>
      </c>
      <c r="CY110" s="213"/>
      <c r="CZ110" s="213"/>
      <c r="DA110" s="213"/>
      <c r="DB110" s="213"/>
    </row>
    <row r="111" spans="101:106" x14ac:dyDescent="0.2">
      <c r="CW111" s="213">
        <v>504</v>
      </c>
      <c r="CX111" s="213" t="s">
        <v>102</v>
      </c>
      <c r="CY111" s="213">
        <v>154500</v>
      </c>
      <c r="CZ111" s="213">
        <v>29000</v>
      </c>
      <c r="DA111" s="213">
        <v>0</v>
      </c>
      <c r="DB111" s="213">
        <v>29000</v>
      </c>
    </row>
    <row r="112" spans="101:106" x14ac:dyDescent="0.2">
      <c r="CW112" s="213">
        <v>508</v>
      </c>
      <c r="CX112" s="213" t="s">
        <v>103</v>
      </c>
      <c r="CY112" s="213">
        <v>825000</v>
      </c>
      <c r="CZ112" s="213">
        <v>100300</v>
      </c>
      <c r="DA112" s="213">
        <v>116800</v>
      </c>
      <c r="DB112" s="213">
        <v>217100</v>
      </c>
    </row>
    <row r="113" spans="101:106" x14ac:dyDescent="0.2">
      <c r="CW113" s="213">
        <v>104</v>
      </c>
      <c r="CX113" s="213" t="s">
        <v>104</v>
      </c>
      <c r="CY113" s="213">
        <v>1415000</v>
      </c>
      <c r="CZ113" s="213">
        <v>1003000</v>
      </c>
      <c r="DA113" s="213">
        <v>128200</v>
      </c>
      <c r="DB113" s="213">
        <v>1168000</v>
      </c>
    </row>
    <row r="114" spans="101:106" x14ac:dyDescent="0.2">
      <c r="CW114" s="213">
        <v>516</v>
      </c>
      <c r="CX114" s="213" t="s">
        <v>105</v>
      </c>
      <c r="CY114" s="213">
        <v>234900</v>
      </c>
      <c r="CZ114" s="213">
        <v>6160</v>
      </c>
      <c r="DA114" s="213">
        <v>11000</v>
      </c>
      <c r="DB114" s="213">
        <v>39910</v>
      </c>
    </row>
    <row r="115" spans="101:106" x14ac:dyDescent="0.2">
      <c r="CW115" s="213">
        <v>520</v>
      </c>
      <c r="CX115" s="213" t="s">
        <v>159</v>
      </c>
      <c r="CY115" s="213"/>
      <c r="CZ115" s="213"/>
      <c r="DA115" s="213">
        <v>0</v>
      </c>
      <c r="DB115" s="213"/>
    </row>
    <row r="116" spans="101:106" x14ac:dyDescent="0.2">
      <c r="CW116" s="213">
        <v>524</v>
      </c>
      <c r="CX116" s="213" t="s">
        <v>106</v>
      </c>
      <c r="CY116" s="213">
        <v>220800</v>
      </c>
      <c r="CZ116" s="213">
        <v>198200</v>
      </c>
      <c r="DA116" s="213">
        <v>12000</v>
      </c>
      <c r="DB116" s="213">
        <v>210200</v>
      </c>
    </row>
    <row r="117" spans="101:106" x14ac:dyDescent="0.2">
      <c r="CW117" s="213">
        <v>540</v>
      </c>
      <c r="CX117" s="213" t="s">
        <v>107</v>
      </c>
      <c r="CY117" s="213"/>
      <c r="CZ117" s="213"/>
      <c r="DA117" s="213"/>
      <c r="DB117" s="213"/>
    </row>
    <row r="118" spans="101:106" x14ac:dyDescent="0.2">
      <c r="CW118" s="213">
        <v>558</v>
      </c>
      <c r="CX118" s="213" t="s">
        <v>108</v>
      </c>
      <c r="CY118" s="213">
        <v>297200</v>
      </c>
      <c r="CZ118" s="213">
        <v>156200</v>
      </c>
      <c r="DA118" s="213">
        <v>8310</v>
      </c>
      <c r="DB118" s="213">
        <v>164500</v>
      </c>
    </row>
    <row r="119" spans="101:106" x14ac:dyDescent="0.2">
      <c r="CW119" s="213">
        <v>562</v>
      </c>
      <c r="CX119" s="213" t="s">
        <v>109</v>
      </c>
      <c r="CY119" s="213">
        <v>191300</v>
      </c>
      <c r="CZ119" s="213">
        <v>3500</v>
      </c>
      <c r="DA119" s="213">
        <v>29200</v>
      </c>
      <c r="DB119" s="213">
        <v>34050</v>
      </c>
    </row>
    <row r="120" spans="101:106" x14ac:dyDescent="0.2">
      <c r="CW120" s="213">
        <v>566</v>
      </c>
      <c r="CX120" s="213" t="s">
        <v>110</v>
      </c>
      <c r="CY120" s="213">
        <v>1062000</v>
      </c>
      <c r="CZ120" s="213">
        <v>221000</v>
      </c>
      <c r="DA120" s="213">
        <v>65200</v>
      </c>
      <c r="DB120" s="213">
        <v>286200</v>
      </c>
    </row>
    <row r="121" spans="101:106" x14ac:dyDescent="0.2">
      <c r="CW121" s="213">
        <v>570</v>
      </c>
      <c r="CX121" s="213" t="s">
        <v>620</v>
      </c>
      <c r="CY121" s="213"/>
      <c r="CZ121" s="213"/>
      <c r="DA121" s="213">
        <v>0</v>
      </c>
      <c r="DB121" s="213"/>
    </row>
    <row r="122" spans="101:106" x14ac:dyDescent="0.2">
      <c r="CW122" s="213">
        <v>275</v>
      </c>
      <c r="CX122" s="213" t="s">
        <v>621</v>
      </c>
      <c r="CY122" s="213">
        <v>2420</v>
      </c>
      <c r="CZ122" s="213">
        <v>812</v>
      </c>
      <c r="DA122" s="213">
        <v>25</v>
      </c>
      <c r="DB122" s="213">
        <v>837</v>
      </c>
    </row>
    <row r="123" spans="101:106" x14ac:dyDescent="0.2">
      <c r="CW123" s="213">
        <v>512</v>
      </c>
      <c r="CX123" s="213" t="s">
        <v>111</v>
      </c>
      <c r="CY123" s="213">
        <v>38690</v>
      </c>
      <c r="CZ123" s="213">
        <v>1400</v>
      </c>
      <c r="DA123" s="213">
        <v>0</v>
      </c>
      <c r="DB123" s="213">
        <v>1400</v>
      </c>
    </row>
    <row r="124" spans="101:106" x14ac:dyDescent="0.2">
      <c r="CW124" s="213">
        <v>586</v>
      </c>
      <c r="CX124" s="213" t="s">
        <v>112</v>
      </c>
      <c r="CY124" s="213">
        <v>393300</v>
      </c>
      <c r="CZ124" s="213">
        <v>55000</v>
      </c>
      <c r="DA124" s="213">
        <v>265100</v>
      </c>
      <c r="DB124" s="213">
        <v>246800</v>
      </c>
    </row>
    <row r="125" spans="101:106" x14ac:dyDescent="0.2">
      <c r="CW125" s="213">
        <v>585</v>
      </c>
      <c r="CX125" s="213" t="s">
        <v>160</v>
      </c>
      <c r="CY125" s="213"/>
      <c r="CZ125" s="213"/>
      <c r="DA125" s="213">
        <v>0</v>
      </c>
      <c r="DB125" s="213"/>
    </row>
    <row r="126" spans="101:106" x14ac:dyDescent="0.2">
      <c r="CW126" s="213">
        <v>591</v>
      </c>
      <c r="CX126" s="213" t="s">
        <v>113</v>
      </c>
      <c r="CY126" s="213">
        <v>220800</v>
      </c>
      <c r="CZ126" s="213">
        <v>136600</v>
      </c>
      <c r="DA126" s="213">
        <v>0</v>
      </c>
      <c r="DB126" s="213">
        <v>139300</v>
      </c>
    </row>
    <row r="127" spans="101:106" x14ac:dyDescent="0.2">
      <c r="CW127" s="213">
        <v>598</v>
      </c>
      <c r="CX127" s="213" t="s">
        <v>114</v>
      </c>
      <c r="CY127" s="213">
        <v>1454000</v>
      </c>
      <c r="CZ127" s="213">
        <v>801000</v>
      </c>
      <c r="DA127" s="213">
        <v>0</v>
      </c>
      <c r="DB127" s="213">
        <v>801000</v>
      </c>
    </row>
    <row r="128" spans="101:106" x14ac:dyDescent="0.2">
      <c r="CW128" s="213">
        <v>600</v>
      </c>
      <c r="CX128" s="213" t="s">
        <v>115</v>
      </c>
      <c r="CY128" s="213">
        <v>459600</v>
      </c>
      <c r="CZ128" s="213">
        <v>117000</v>
      </c>
      <c r="DA128" s="213">
        <v>73270</v>
      </c>
      <c r="DB128" s="213">
        <v>387800</v>
      </c>
    </row>
    <row r="129" spans="101:106" x14ac:dyDescent="0.2">
      <c r="CW129" s="213">
        <v>604</v>
      </c>
      <c r="CX129" s="213" t="s">
        <v>116</v>
      </c>
      <c r="CY129" s="213">
        <v>2234000</v>
      </c>
      <c r="CZ129" s="213">
        <v>1641000</v>
      </c>
      <c r="DA129" s="213">
        <v>128800</v>
      </c>
      <c r="DB129" s="213">
        <v>1880000</v>
      </c>
    </row>
    <row r="130" spans="101:106" x14ac:dyDescent="0.2">
      <c r="CW130" s="213">
        <v>608</v>
      </c>
      <c r="CX130" s="213" t="s">
        <v>117</v>
      </c>
      <c r="CY130" s="213">
        <v>704400</v>
      </c>
      <c r="CZ130" s="213">
        <v>479000</v>
      </c>
      <c r="DA130" s="213">
        <v>0</v>
      </c>
      <c r="DB130" s="213">
        <v>479000</v>
      </c>
    </row>
    <row r="131" spans="101:106" x14ac:dyDescent="0.2">
      <c r="CW131" s="213">
        <v>630</v>
      </c>
      <c r="CX131" s="213" t="s">
        <v>118</v>
      </c>
      <c r="CY131" s="213">
        <v>18220</v>
      </c>
      <c r="CZ131" s="213">
        <v>7100</v>
      </c>
      <c r="DA131" s="213">
        <v>0</v>
      </c>
      <c r="DB131" s="213">
        <v>7100</v>
      </c>
    </row>
    <row r="132" spans="101:106" x14ac:dyDescent="0.2">
      <c r="CW132" s="213">
        <v>634</v>
      </c>
      <c r="CX132" s="213" t="s">
        <v>119</v>
      </c>
      <c r="CY132" s="213">
        <v>859.1</v>
      </c>
      <c r="CZ132" s="213">
        <v>56</v>
      </c>
      <c r="DA132" s="213">
        <v>2</v>
      </c>
      <c r="DB132" s="213">
        <v>58</v>
      </c>
    </row>
    <row r="133" spans="101:106" x14ac:dyDescent="0.2">
      <c r="CW133" s="213">
        <v>498</v>
      </c>
      <c r="CX133" s="213" t="s">
        <v>120</v>
      </c>
      <c r="CY133" s="213">
        <v>15230</v>
      </c>
      <c r="CZ133" s="213">
        <v>1620</v>
      </c>
      <c r="DA133" s="213">
        <v>9200</v>
      </c>
      <c r="DB133" s="213">
        <v>12270</v>
      </c>
    </row>
    <row r="134" spans="101:106" x14ac:dyDescent="0.2">
      <c r="CW134" s="213">
        <v>638</v>
      </c>
      <c r="CX134" s="213" t="s">
        <v>121</v>
      </c>
      <c r="CY134" s="213"/>
      <c r="CZ134" s="213"/>
      <c r="DA134" s="213"/>
      <c r="DB134" s="213"/>
    </row>
    <row r="135" spans="101:106" x14ac:dyDescent="0.2">
      <c r="CW135" s="213">
        <v>642</v>
      </c>
      <c r="CX135" s="213" t="s">
        <v>122</v>
      </c>
      <c r="CY135" s="213">
        <v>151900</v>
      </c>
      <c r="CZ135" s="213">
        <v>42380</v>
      </c>
      <c r="DA135" s="213">
        <v>168180</v>
      </c>
      <c r="DB135" s="213">
        <v>212000</v>
      </c>
    </row>
    <row r="136" spans="101:106" x14ac:dyDescent="0.2">
      <c r="CW136" s="213">
        <v>643</v>
      </c>
      <c r="CX136" s="213" t="s">
        <v>127</v>
      </c>
      <c r="CY136" s="213">
        <v>7865000</v>
      </c>
      <c r="CZ136" s="213">
        <v>4312000</v>
      </c>
      <c r="DA136" s="213">
        <v>204600</v>
      </c>
      <c r="DB136" s="213">
        <v>4525000</v>
      </c>
    </row>
    <row r="137" spans="101:106" x14ac:dyDescent="0.2">
      <c r="CW137" s="213">
        <v>646</v>
      </c>
      <c r="CX137" s="213" t="s">
        <v>128</v>
      </c>
      <c r="CY137" s="213">
        <v>31920</v>
      </c>
      <c r="CZ137" s="213">
        <v>9500</v>
      </c>
      <c r="DA137" s="213">
        <v>3800</v>
      </c>
      <c r="DB137" s="213">
        <v>13300</v>
      </c>
    </row>
    <row r="138" spans="101:106" x14ac:dyDescent="0.2">
      <c r="CW138" s="213">
        <v>654</v>
      </c>
      <c r="CX138" s="213" t="s">
        <v>129</v>
      </c>
      <c r="CY138" s="213"/>
      <c r="CZ138" s="213"/>
      <c r="DA138" s="213"/>
      <c r="DB138" s="213"/>
    </row>
    <row r="139" spans="101:106" x14ac:dyDescent="0.2">
      <c r="CW139" s="213">
        <v>659</v>
      </c>
      <c r="CX139" s="213" t="s">
        <v>130</v>
      </c>
      <c r="CY139" s="213">
        <v>371</v>
      </c>
      <c r="CZ139" s="213">
        <v>24</v>
      </c>
      <c r="DA139" s="213">
        <v>0</v>
      </c>
      <c r="DB139" s="213">
        <v>24</v>
      </c>
    </row>
    <row r="140" spans="101:106" x14ac:dyDescent="0.2">
      <c r="CW140" s="213">
        <v>662</v>
      </c>
      <c r="CX140" s="213" t="s">
        <v>131</v>
      </c>
      <c r="CY140" s="213">
        <v>1427</v>
      </c>
      <c r="CZ140" s="213">
        <v>30</v>
      </c>
      <c r="DA140" s="213">
        <v>0</v>
      </c>
      <c r="DB140" s="213">
        <v>30</v>
      </c>
    </row>
    <row r="141" spans="101:106" x14ac:dyDescent="0.2">
      <c r="CW141" s="213">
        <v>670</v>
      </c>
      <c r="CX141" s="213" t="s">
        <v>161</v>
      </c>
      <c r="CY141" s="213">
        <v>617.4</v>
      </c>
      <c r="CZ141" s="213">
        <v>100</v>
      </c>
      <c r="DA141" s="213">
        <v>0</v>
      </c>
      <c r="DB141" s="213">
        <v>100</v>
      </c>
    </row>
    <row r="142" spans="101:106" x14ac:dyDescent="0.2">
      <c r="CW142" s="213">
        <v>882</v>
      </c>
      <c r="CX142" s="213" t="s">
        <v>132</v>
      </c>
      <c r="CY142" s="213">
        <v>8179</v>
      </c>
      <c r="CZ142" s="213"/>
      <c r="DA142" s="213">
        <v>0</v>
      </c>
      <c r="DB142" s="213"/>
    </row>
    <row r="143" spans="101:106" x14ac:dyDescent="0.2">
      <c r="CW143" s="213">
        <v>674</v>
      </c>
      <c r="CX143" s="213" t="s">
        <v>162</v>
      </c>
      <c r="CY143" s="213"/>
      <c r="CZ143" s="213"/>
      <c r="DA143" s="213"/>
      <c r="DB143" s="213"/>
    </row>
    <row r="144" spans="101:106" x14ac:dyDescent="0.2">
      <c r="CW144" s="213">
        <v>678</v>
      </c>
      <c r="CX144" s="213" t="s">
        <v>360</v>
      </c>
      <c r="CY144" s="213">
        <v>3072</v>
      </c>
      <c r="CZ144" s="213">
        <v>2180</v>
      </c>
      <c r="DA144" s="213">
        <v>0</v>
      </c>
      <c r="DB144" s="213">
        <v>2180</v>
      </c>
    </row>
    <row r="145" spans="101:106" x14ac:dyDescent="0.2">
      <c r="CW145" s="213">
        <v>682</v>
      </c>
      <c r="CX145" s="213" t="s">
        <v>361</v>
      </c>
      <c r="CY145" s="213">
        <v>126800</v>
      </c>
      <c r="CZ145" s="213">
        <v>2400</v>
      </c>
      <c r="DA145" s="213">
        <v>0</v>
      </c>
      <c r="DB145" s="213">
        <v>2400</v>
      </c>
    </row>
    <row r="146" spans="101:106" x14ac:dyDescent="0.2">
      <c r="CW146" s="213">
        <v>686</v>
      </c>
      <c r="CX146" s="213" t="s">
        <v>362</v>
      </c>
      <c r="CY146" s="213">
        <v>134900</v>
      </c>
      <c r="CZ146" s="213">
        <v>25800</v>
      </c>
      <c r="DA146" s="213">
        <v>2170</v>
      </c>
      <c r="DB146" s="213">
        <v>38970</v>
      </c>
    </row>
    <row r="147" spans="101:106" x14ac:dyDescent="0.2">
      <c r="CW147" s="213">
        <v>891</v>
      </c>
      <c r="CX147" s="213" t="s">
        <v>163</v>
      </c>
      <c r="CY147" s="213">
        <v>49980</v>
      </c>
      <c r="CZ147" s="213">
        <v>8407</v>
      </c>
      <c r="DA147" s="213">
        <v>0</v>
      </c>
      <c r="DB147" s="213">
        <v>162200</v>
      </c>
    </row>
    <row r="148" spans="101:106" x14ac:dyDescent="0.2">
      <c r="CW148" s="213">
        <v>690</v>
      </c>
      <c r="CX148" s="213" t="s">
        <v>363</v>
      </c>
      <c r="CY148" s="213">
        <v>1060</v>
      </c>
      <c r="CZ148" s="213"/>
      <c r="DA148" s="213">
        <v>0</v>
      </c>
      <c r="DB148" s="213"/>
    </row>
    <row r="149" spans="101:106" x14ac:dyDescent="0.2">
      <c r="CW149" s="213">
        <v>694</v>
      </c>
      <c r="CX149" s="213" t="s">
        <v>364</v>
      </c>
      <c r="CY149" s="213">
        <v>182600</v>
      </c>
      <c r="CZ149" s="213">
        <v>160000</v>
      </c>
      <c r="DA149" s="213">
        <v>0</v>
      </c>
      <c r="DB149" s="213">
        <v>160000</v>
      </c>
    </row>
    <row r="150" spans="101:106" x14ac:dyDescent="0.2">
      <c r="CW150" s="213">
        <v>702</v>
      </c>
      <c r="CX150" s="213" t="s">
        <v>365</v>
      </c>
      <c r="CY150" s="213">
        <v>1790</v>
      </c>
      <c r="CZ150" s="213">
        <v>600</v>
      </c>
      <c r="DA150" s="213">
        <v>0</v>
      </c>
      <c r="DB150" s="213">
        <v>600</v>
      </c>
    </row>
    <row r="151" spans="101:106" x14ac:dyDescent="0.2">
      <c r="CW151" s="213">
        <v>703</v>
      </c>
      <c r="CX151" s="213" t="s">
        <v>366</v>
      </c>
      <c r="CY151" s="213">
        <v>40410</v>
      </c>
      <c r="CZ151" s="213">
        <v>12600</v>
      </c>
      <c r="DA151" s="213">
        <v>0</v>
      </c>
      <c r="DB151" s="213">
        <v>50100</v>
      </c>
    </row>
    <row r="152" spans="101:106" x14ac:dyDescent="0.2">
      <c r="CW152" s="213">
        <v>90</v>
      </c>
      <c r="CX152" s="213" t="s">
        <v>367</v>
      </c>
      <c r="CY152" s="213">
        <v>87510</v>
      </c>
      <c r="CZ152" s="213">
        <v>44700</v>
      </c>
      <c r="DA152" s="213">
        <v>0</v>
      </c>
      <c r="DB152" s="213">
        <v>44700</v>
      </c>
    </row>
    <row r="153" spans="101:106" x14ac:dyDescent="0.2">
      <c r="CW153" s="213">
        <v>706</v>
      </c>
      <c r="CX153" s="213" t="s">
        <v>368</v>
      </c>
      <c r="CY153" s="213">
        <v>179800</v>
      </c>
      <c r="CZ153" s="213">
        <v>6000</v>
      </c>
      <c r="DA153" s="213">
        <v>8700</v>
      </c>
      <c r="DB153" s="213">
        <v>14700</v>
      </c>
    </row>
    <row r="154" spans="101:106" x14ac:dyDescent="0.2">
      <c r="CW154" s="213">
        <v>710</v>
      </c>
      <c r="CX154" s="213" t="s">
        <v>369</v>
      </c>
      <c r="CY154" s="213">
        <v>603400</v>
      </c>
      <c r="CZ154" s="213">
        <v>44800</v>
      </c>
      <c r="DA154" s="213">
        <v>6600</v>
      </c>
      <c r="DB154" s="213">
        <v>51350</v>
      </c>
    </row>
    <row r="155" spans="101:106" x14ac:dyDescent="0.2">
      <c r="CW155" s="213">
        <v>728</v>
      </c>
      <c r="CX155" s="213" t="s">
        <v>622</v>
      </c>
      <c r="CY155" s="213">
        <v>579900</v>
      </c>
      <c r="CZ155" s="213">
        <v>26000</v>
      </c>
      <c r="DA155" s="213">
        <v>50000</v>
      </c>
      <c r="DB155" s="213">
        <v>49500</v>
      </c>
    </row>
    <row r="156" spans="101:106" x14ac:dyDescent="0.2">
      <c r="CW156" s="213">
        <v>144</v>
      </c>
      <c r="CX156" s="213" t="s">
        <v>370</v>
      </c>
      <c r="CY156" s="213">
        <v>112300</v>
      </c>
      <c r="CZ156" s="213">
        <v>52800</v>
      </c>
      <c r="DA156" s="213">
        <v>0</v>
      </c>
      <c r="DB156" s="213">
        <v>52800</v>
      </c>
    </row>
    <row r="157" spans="101:106" x14ac:dyDescent="0.2">
      <c r="CW157" s="213">
        <v>729</v>
      </c>
      <c r="CX157" s="213" t="s">
        <v>623</v>
      </c>
      <c r="CY157" s="213">
        <v>469800</v>
      </c>
      <c r="CZ157" s="213">
        <v>4000</v>
      </c>
      <c r="DA157" s="213">
        <v>99300</v>
      </c>
      <c r="DB157" s="213">
        <v>37800</v>
      </c>
    </row>
    <row r="158" spans="101:106" x14ac:dyDescent="0.2">
      <c r="CW158" s="213">
        <v>740</v>
      </c>
      <c r="CX158" s="213" t="s">
        <v>371</v>
      </c>
      <c r="CY158" s="213">
        <v>381900</v>
      </c>
      <c r="CZ158" s="213">
        <v>99000</v>
      </c>
      <c r="DA158" s="213">
        <v>0</v>
      </c>
      <c r="DB158" s="213">
        <v>99000</v>
      </c>
    </row>
    <row r="159" spans="101:106" x14ac:dyDescent="0.2">
      <c r="CW159" s="213">
        <v>748</v>
      </c>
      <c r="CX159" s="213" t="s">
        <v>372</v>
      </c>
      <c r="CY159" s="213">
        <v>13680</v>
      </c>
      <c r="CZ159" s="213">
        <v>2640</v>
      </c>
      <c r="DA159" s="213">
        <v>1870</v>
      </c>
      <c r="DB159" s="213">
        <v>4510</v>
      </c>
    </row>
    <row r="160" spans="101:106" x14ac:dyDescent="0.2">
      <c r="CW160" s="213">
        <v>760</v>
      </c>
      <c r="CX160" s="213" t="s">
        <v>379</v>
      </c>
      <c r="CY160" s="213">
        <v>46670</v>
      </c>
      <c r="CZ160" s="213">
        <v>7132</v>
      </c>
      <c r="DA160" s="213">
        <v>39650</v>
      </c>
      <c r="DB160" s="213">
        <v>16800</v>
      </c>
    </row>
    <row r="161" spans="101:106" x14ac:dyDescent="0.2">
      <c r="CW161" s="213">
        <v>762</v>
      </c>
      <c r="CX161" s="213" t="s">
        <v>380</v>
      </c>
      <c r="CY161" s="213">
        <v>98500</v>
      </c>
      <c r="CZ161" s="213">
        <v>63460</v>
      </c>
      <c r="DA161" s="213">
        <v>34190</v>
      </c>
      <c r="DB161" s="213">
        <v>21910</v>
      </c>
    </row>
    <row r="162" spans="101:106" x14ac:dyDescent="0.2">
      <c r="CW162" s="213">
        <v>764</v>
      </c>
      <c r="CX162" s="213" t="s">
        <v>381</v>
      </c>
      <c r="CY162" s="213">
        <v>832300</v>
      </c>
      <c r="CZ162" s="213">
        <v>224500</v>
      </c>
      <c r="DA162" s="213">
        <v>0</v>
      </c>
      <c r="DB162" s="213">
        <v>438600</v>
      </c>
    </row>
    <row r="163" spans="101:106" x14ac:dyDescent="0.2">
      <c r="CW163" s="213">
        <v>807</v>
      </c>
      <c r="CX163" s="213" t="s">
        <v>164</v>
      </c>
      <c r="CY163" s="213">
        <v>15910</v>
      </c>
      <c r="CZ163" s="213">
        <v>5400</v>
      </c>
      <c r="DA163" s="213">
        <v>1000</v>
      </c>
      <c r="DB163" s="213">
        <v>6400</v>
      </c>
    </row>
    <row r="164" spans="101:106" x14ac:dyDescent="0.2">
      <c r="CW164" s="213">
        <v>626</v>
      </c>
      <c r="CX164" s="213" t="s">
        <v>165</v>
      </c>
      <c r="CY164" s="213">
        <v>22300</v>
      </c>
      <c r="CZ164" s="213">
        <v>8215</v>
      </c>
      <c r="DA164" s="213">
        <v>0</v>
      </c>
      <c r="DB164" s="213">
        <v>8215</v>
      </c>
    </row>
    <row r="165" spans="101:106" x14ac:dyDescent="0.2">
      <c r="CW165" s="213">
        <v>768</v>
      </c>
      <c r="CX165" s="213" t="s">
        <v>382</v>
      </c>
      <c r="CY165" s="213">
        <v>66330</v>
      </c>
      <c r="CZ165" s="213">
        <v>11500</v>
      </c>
      <c r="DA165" s="213">
        <v>3200</v>
      </c>
      <c r="DB165" s="213">
        <v>14700</v>
      </c>
    </row>
    <row r="166" spans="101:106" x14ac:dyDescent="0.2">
      <c r="CW166" s="213">
        <v>772</v>
      </c>
      <c r="CX166" s="213" t="s">
        <v>624</v>
      </c>
      <c r="CY166" s="213" t="s">
        <v>625</v>
      </c>
      <c r="CZ166" s="213" t="s">
        <v>625</v>
      </c>
      <c r="DA166" s="213">
        <v>0</v>
      </c>
      <c r="DB166" s="213" t="s">
        <v>625</v>
      </c>
    </row>
    <row r="167" spans="101:106" x14ac:dyDescent="0.2">
      <c r="CW167" s="213">
        <v>776</v>
      </c>
      <c r="CX167" s="213" t="s">
        <v>383</v>
      </c>
      <c r="CY167" s="213" t="s">
        <v>625</v>
      </c>
      <c r="CZ167" s="213" t="s">
        <v>625</v>
      </c>
      <c r="DA167" s="213">
        <v>0</v>
      </c>
      <c r="DB167" s="213" t="s">
        <v>625</v>
      </c>
    </row>
    <row r="168" spans="101:106" x14ac:dyDescent="0.2">
      <c r="CW168" s="213">
        <v>780</v>
      </c>
      <c r="CX168" s="213" t="s">
        <v>384</v>
      </c>
      <c r="CY168" s="213">
        <v>11290</v>
      </c>
      <c r="CZ168" s="213">
        <v>3840</v>
      </c>
      <c r="DA168" s="213">
        <v>0</v>
      </c>
      <c r="DB168" s="213">
        <v>3840</v>
      </c>
    </row>
    <row r="169" spans="101:106" x14ac:dyDescent="0.2">
      <c r="CW169" s="213">
        <v>788</v>
      </c>
      <c r="CX169" s="213" t="s">
        <v>385</v>
      </c>
      <c r="CY169" s="213">
        <v>33870</v>
      </c>
      <c r="CZ169" s="213">
        <v>4195</v>
      </c>
      <c r="DA169" s="213">
        <v>420</v>
      </c>
      <c r="DB169" s="213">
        <v>4595</v>
      </c>
    </row>
    <row r="170" spans="101:106" x14ac:dyDescent="0.2">
      <c r="CW170" s="213">
        <v>795</v>
      </c>
      <c r="CX170" s="213" t="s">
        <v>386</v>
      </c>
      <c r="CY170" s="213">
        <v>78580</v>
      </c>
      <c r="CZ170" s="213">
        <v>1405</v>
      </c>
      <c r="DA170" s="213">
        <v>80200</v>
      </c>
      <c r="DB170" s="213">
        <v>24770</v>
      </c>
    </row>
    <row r="171" spans="101:106" x14ac:dyDescent="0.2">
      <c r="CW171" s="213">
        <v>798</v>
      </c>
      <c r="CX171" s="213" t="s">
        <v>166</v>
      </c>
      <c r="CY171" s="213"/>
      <c r="CZ171" s="213"/>
      <c r="DA171" s="213">
        <v>0</v>
      </c>
      <c r="DB171" s="213"/>
    </row>
    <row r="172" spans="101:106" x14ac:dyDescent="0.2">
      <c r="CW172" s="213">
        <v>800</v>
      </c>
      <c r="CX172" s="213" t="s">
        <v>387</v>
      </c>
      <c r="CY172" s="213">
        <v>285000</v>
      </c>
      <c r="CZ172" s="213">
        <v>39000</v>
      </c>
      <c r="DA172" s="213">
        <v>21100</v>
      </c>
      <c r="DB172" s="213">
        <v>60100</v>
      </c>
    </row>
    <row r="173" spans="101:106" x14ac:dyDescent="0.2">
      <c r="CW173" s="213">
        <v>804</v>
      </c>
      <c r="CX173" s="213" t="s">
        <v>388</v>
      </c>
      <c r="CY173" s="213">
        <v>341000</v>
      </c>
      <c r="CZ173" s="213">
        <v>55100</v>
      </c>
      <c r="DA173" s="213">
        <v>36130</v>
      </c>
      <c r="DB173" s="213">
        <v>175300</v>
      </c>
    </row>
    <row r="174" spans="101:106" x14ac:dyDescent="0.2">
      <c r="CW174" s="213">
        <v>784</v>
      </c>
      <c r="CX174" s="213" t="s">
        <v>389</v>
      </c>
      <c r="CY174" s="213">
        <v>6521</v>
      </c>
      <c r="CZ174" s="213">
        <v>150</v>
      </c>
      <c r="DA174" s="213">
        <v>0</v>
      </c>
      <c r="DB174" s="213">
        <v>150</v>
      </c>
    </row>
    <row r="175" spans="101:106" x14ac:dyDescent="0.2">
      <c r="CW175" s="213">
        <v>834</v>
      </c>
      <c r="CX175" s="213" t="s">
        <v>167</v>
      </c>
      <c r="CY175" s="213">
        <v>1015000</v>
      </c>
      <c r="CZ175" s="213">
        <v>84000</v>
      </c>
      <c r="DA175" s="213">
        <v>12270</v>
      </c>
      <c r="DB175" s="213">
        <v>96270</v>
      </c>
    </row>
    <row r="176" spans="101:106" x14ac:dyDescent="0.2">
      <c r="CW176" s="213">
        <v>858</v>
      </c>
      <c r="CX176" s="213" t="s">
        <v>391</v>
      </c>
      <c r="CY176" s="213">
        <v>222900</v>
      </c>
      <c r="CZ176" s="213">
        <v>92200</v>
      </c>
      <c r="DA176" s="213">
        <v>5000</v>
      </c>
      <c r="DB176" s="213">
        <v>172200</v>
      </c>
    </row>
    <row r="177" spans="101:106" x14ac:dyDescent="0.2">
      <c r="CW177" s="213">
        <v>860</v>
      </c>
      <c r="CX177" s="213" t="s">
        <v>392</v>
      </c>
      <c r="CY177" s="213">
        <v>92160</v>
      </c>
      <c r="CZ177" s="213">
        <v>16340</v>
      </c>
      <c r="DA177" s="213">
        <v>102200</v>
      </c>
      <c r="DB177" s="213">
        <v>48870</v>
      </c>
    </row>
    <row r="178" spans="101:106" x14ac:dyDescent="0.2">
      <c r="CW178" s="213">
        <v>548</v>
      </c>
      <c r="CX178" s="213" t="s">
        <v>168</v>
      </c>
      <c r="CY178" s="213">
        <v>24380</v>
      </c>
      <c r="CZ178" s="213">
        <v>10000</v>
      </c>
      <c r="DA178" s="213">
        <v>0</v>
      </c>
      <c r="DB178" s="213">
        <v>10000</v>
      </c>
    </row>
    <row r="179" spans="101:106" x14ac:dyDescent="0.2">
      <c r="CW179" s="213">
        <v>862</v>
      </c>
      <c r="CX179" s="213" t="s">
        <v>169</v>
      </c>
      <c r="CY179" s="213">
        <v>1864000</v>
      </c>
      <c r="CZ179" s="213">
        <v>805000</v>
      </c>
      <c r="DA179" s="213">
        <v>495000</v>
      </c>
      <c r="DB179" s="213">
        <v>1325000</v>
      </c>
    </row>
    <row r="180" spans="101:106" x14ac:dyDescent="0.2">
      <c r="CW180" s="213">
        <v>704</v>
      </c>
      <c r="CX180" s="213" t="s">
        <v>393</v>
      </c>
      <c r="CY180" s="213">
        <v>602700</v>
      </c>
      <c r="CZ180" s="213">
        <v>359400</v>
      </c>
      <c r="DA180" s="213">
        <v>524700</v>
      </c>
      <c r="DB180" s="213">
        <v>884100</v>
      </c>
    </row>
    <row r="181" spans="101:106" x14ac:dyDescent="0.2">
      <c r="CW181" s="213">
        <v>887</v>
      </c>
      <c r="CX181" s="213" t="s">
        <v>394</v>
      </c>
      <c r="CY181" s="213">
        <v>88170</v>
      </c>
      <c r="CZ181" s="213">
        <v>2100</v>
      </c>
      <c r="DA181" s="213">
        <v>0</v>
      </c>
      <c r="DB181" s="213">
        <v>2100</v>
      </c>
    </row>
    <row r="182" spans="101:106" x14ac:dyDescent="0.2">
      <c r="CW182" s="213">
        <v>894</v>
      </c>
      <c r="CX182" s="213" t="s">
        <v>395</v>
      </c>
      <c r="CY182" s="213">
        <v>767700</v>
      </c>
      <c r="CZ182" s="213">
        <v>80200</v>
      </c>
      <c r="DA182" s="213">
        <v>24600</v>
      </c>
      <c r="DB182" s="213">
        <v>104800</v>
      </c>
    </row>
    <row r="183" spans="101:106" x14ac:dyDescent="0.2">
      <c r="CW183" s="213">
        <v>716</v>
      </c>
      <c r="CX183" s="213" t="s">
        <v>396</v>
      </c>
      <c r="CY183" s="213">
        <v>256700</v>
      </c>
      <c r="CZ183" s="213">
        <v>12260</v>
      </c>
      <c r="DA183" s="213">
        <v>0</v>
      </c>
      <c r="DB183" s="213">
        <v>20000</v>
      </c>
    </row>
    <row r="209" spans="101:106" x14ac:dyDescent="0.2">
      <c r="CW209" s="633"/>
      <c r="CX209" s="634"/>
      <c r="CY209" s="633"/>
      <c r="CZ209" s="633"/>
      <c r="DA209" s="633"/>
      <c r="DB209" s="633"/>
    </row>
    <row r="210" spans="101:106" x14ac:dyDescent="0.2">
      <c r="CW210" s="633"/>
      <c r="CX210" s="634"/>
      <c r="CY210" s="633"/>
      <c r="CZ210" s="633"/>
      <c r="DA210" s="633"/>
      <c r="DB210" s="633"/>
    </row>
    <row r="211" spans="101:106" x14ac:dyDescent="0.2">
      <c r="CW211" s="633"/>
      <c r="CX211" s="634"/>
      <c r="CY211" s="633"/>
      <c r="CZ211" s="633"/>
      <c r="DA211" s="633"/>
      <c r="DB211" s="633"/>
    </row>
  </sheetData>
  <sheetProtection sheet="1" formatCells="0" formatColumns="0" formatRows="0" insertColumns="0" insertRows="0" insertHyperlinks="0"/>
  <mergeCells count="44">
    <mergeCell ref="C58:AO59"/>
    <mergeCell ref="D52:AY52"/>
    <mergeCell ref="D53:AY53"/>
    <mergeCell ref="D54:AY54"/>
    <mergeCell ref="D55:AY55"/>
    <mergeCell ref="D56:AY56"/>
    <mergeCell ref="D57:AY57"/>
    <mergeCell ref="D51:AY51"/>
    <mergeCell ref="D40:AY40"/>
    <mergeCell ref="D41:AY41"/>
    <mergeCell ref="D42:AY42"/>
    <mergeCell ref="D43:AY43"/>
    <mergeCell ref="D44:AY44"/>
    <mergeCell ref="D45:AY45"/>
    <mergeCell ref="D46:AY46"/>
    <mergeCell ref="D47:AY47"/>
    <mergeCell ref="D48:AY48"/>
    <mergeCell ref="D49:AY49"/>
    <mergeCell ref="D50:AY50"/>
    <mergeCell ref="D39:AY39"/>
    <mergeCell ref="AD28:AL28"/>
    <mergeCell ref="AT29:AY29"/>
    <mergeCell ref="AB30:AE30"/>
    <mergeCell ref="AK30:AN30"/>
    <mergeCell ref="AB31:AE31"/>
    <mergeCell ref="AK31:AN31"/>
    <mergeCell ref="AT31:AY31"/>
    <mergeCell ref="C33:AY33"/>
    <mergeCell ref="D35:AY35"/>
    <mergeCell ref="D36:AY36"/>
    <mergeCell ref="D37:AY37"/>
    <mergeCell ref="D38:AY38"/>
    <mergeCell ref="D21:AY21"/>
    <mergeCell ref="D22:AY22"/>
    <mergeCell ref="D23:AY23"/>
    <mergeCell ref="D24:AY24"/>
    <mergeCell ref="AB26:AE26"/>
    <mergeCell ref="AJ26:AN26"/>
    <mergeCell ref="D20:AY20"/>
    <mergeCell ref="C4:AY4"/>
    <mergeCell ref="C5:AT5"/>
    <mergeCell ref="CW5:DB5"/>
    <mergeCell ref="D6:AG6"/>
    <mergeCell ref="AL6:AX6"/>
  </mergeCells>
  <conditionalFormatting sqref="H10">
    <cfRule type="cellIs" dxfId="320" priority="72" stopIfTrue="1" operator="lessThan">
      <formula>H8-H9-(0.01*(H8-H9))</formula>
    </cfRule>
  </conditionalFormatting>
  <conditionalFormatting sqref="H12">
    <cfRule type="cellIs" dxfId="319" priority="71" stopIfTrue="1" operator="lessThan">
      <formula>H10+H11-(0.01*(H10+H11))</formula>
    </cfRule>
  </conditionalFormatting>
  <conditionalFormatting sqref="J10">
    <cfRule type="cellIs" dxfId="318" priority="70" stopIfTrue="1" operator="lessThan">
      <formula>J8-J9-(0.01*(J8-J9))</formula>
    </cfRule>
  </conditionalFormatting>
  <conditionalFormatting sqref="J12">
    <cfRule type="cellIs" dxfId="317" priority="69" stopIfTrue="1" operator="lessThan">
      <formula>J10+J11-(0.01*(J10+J11))</formula>
    </cfRule>
  </conditionalFormatting>
  <conditionalFormatting sqref="L10">
    <cfRule type="cellIs" dxfId="316" priority="68" stopIfTrue="1" operator="lessThan">
      <formula>L8-L9-(0.01*(L8-L9))</formula>
    </cfRule>
  </conditionalFormatting>
  <conditionalFormatting sqref="L12">
    <cfRule type="cellIs" dxfId="315" priority="67" stopIfTrue="1" operator="lessThan">
      <formula>L10+L11-(0.01*(L10+L11))</formula>
    </cfRule>
  </conditionalFormatting>
  <conditionalFormatting sqref="N10">
    <cfRule type="cellIs" dxfId="314" priority="66" stopIfTrue="1" operator="lessThan">
      <formula>N8-N9-(0.01*(N8-N9))</formula>
    </cfRule>
  </conditionalFormatting>
  <conditionalFormatting sqref="N12">
    <cfRule type="cellIs" dxfId="313" priority="65" stopIfTrue="1" operator="lessThan">
      <formula>N10+N11-(0.01*(N10+N11))</formula>
    </cfRule>
  </conditionalFormatting>
  <conditionalFormatting sqref="P10">
    <cfRule type="cellIs" dxfId="312" priority="64" stopIfTrue="1" operator="lessThan">
      <formula>P8-P9-(0.01*(P8-P9))</formula>
    </cfRule>
  </conditionalFormatting>
  <conditionalFormatting sqref="P12">
    <cfRule type="cellIs" dxfId="311" priority="63" stopIfTrue="1" operator="lessThan">
      <formula>P10+P11-(0.01*(P10+P11))</formula>
    </cfRule>
  </conditionalFormatting>
  <conditionalFormatting sqref="R10">
    <cfRule type="cellIs" dxfId="310" priority="62" stopIfTrue="1" operator="lessThan">
      <formula>R8-R9-(0.01*(R8-R9))</formula>
    </cfRule>
  </conditionalFormatting>
  <conditionalFormatting sqref="R12">
    <cfRule type="cellIs" dxfId="309" priority="61" stopIfTrue="1" operator="lessThan">
      <formula>R10+R11-(0.01*(R10+R11))</formula>
    </cfRule>
  </conditionalFormatting>
  <conditionalFormatting sqref="T10">
    <cfRule type="cellIs" dxfId="308" priority="60" stopIfTrue="1" operator="lessThan">
      <formula>T8-T9-(0.01*(T8-T9))</formula>
    </cfRule>
  </conditionalFormatting>
  <conditionalFormatting sqref="T12">
    <cfRule type="cellIs" dxfId="307" priority="59" stopIfTrue="1" operator="lessThan">
      <formula>T10+T11-(0.01*(T10+T11))</formula>
    </cfRule>
  </conditionalFormatting>
  <conditionalFormatting sqref="V10">
    <cfRule type="cellIs" dxfId="306" priority="58" stopIfTrue="1" operator="lessThan">
      <formula>V8-V9-(0.01*(V8-V9))</formula>
    </cfRule>
  </conditionalFormatting>
  <conditionalFormatting sqref="V12">
    <cfRule type="cellIs" dxfId="305" priority="57" stopIfTrue="1" operator="lessThan">
      <formula>V10+V11-(0.01*(V10+V11))</formula>
    </cfRule>
  </conditionalFormatting>
  <conditionalFormatting sqref="X10">
    <cfRule type="cellIs" dxfId="304" priority="56" stopIfTrue="1" operator="lessThan">
      <formula>X8-X9-(0.01*(X8-X9))</formula>
    </cfRule>
  </conditionalFormatting>
  <conditionalFormatting sqref="X12">
    <cfRule type="cellIs" dxfId="303" priority="55" stopIfTrue="1" operator="lessThan">
      <formula>X10+X11-(0.01*(X10+X11))</formula>
    </cfRule>
  </conditionalFormatting>
  <conditionalFormatting sqref="Z10">
    <cfRule type="cellIs" dxfId="302" priority="54" stopIfTrue="1" operator="lessThan">
      <formula>Z8-Z9-(0.01*(Z8-Z9))</formula>
    </cfRule>
  </conditionalFormatting>
  <conditionalFormatting sqref="Z12">
    <cfRule type="cellIs" dxfId="301" priority="53" stopIfTrue="1" operator="lessThan">
      <formula>Z10+Z11-(0.01*(Z10+Z11))</formula>
    </cfRule>
  </conditionalFormatting>
  <conditionalFormatting sqref="AB10">
    <cfRule type="cellIs" dxfId="300" priority="52" stopIfTrue="1" operator="lessThan">
      <formula>AB8-AB9-(0.01*(AB8-AB9))</formula>
    </cfRule>
  </conditionalFormatting>
  <conditionalFormatting sqref="AB12">
    <cfRule type="cellIs" dxfId="299" priority="51" stopIfTrue="1" operator="lessThan">
      <formula>AB10+AB11-(0.01*(AB10+AB11))</formula>
    </cfRule>
  </conditionalFormatting>
  <conditionalFormatting sqref="AD10">
    <cfRule type="cellIs" dxfId="298" priority="50" stopIfTrue="1" operator="lessThan">
      <formula>AD8-AD9-(0.01*(AD8-AD9))</formula>
    </cfRule>
  </conditionalFormatting>
  <conditionalFormatting sqref="AD12">
    <cfRule type="cellIs" dxfId="297" priority="49" stopIfTrue="1" operator="lessThan">
      <formula>AD10+AD11-(0.01*(AD10+AD11))</formula>
    </cfRule>
  </conditionalFormatting>
  <conditionalFormatting sqref="AF10">
    <cfRule type="cellIs" dxfId="296" priority="48" stopIfTrue="1" operator="lessThan">
      <formula>AF8-AF9-(0.01*(AF8-AF9))</formula>
    </cfRule>
  </conditionalFormatting>
  <conditionalFormatting sqref="AF12">
    <cfRule type="cellIs" dxfId="295" priority="47" stopIfTrue="1" operator="lessThan">
      <formula>AF10+AF11-(0.01*(AF10+AF11))</formula>
    </cfRule>
  </conditionalFormatting>
  <conditionalFormatting sqref="AH10">
    <cfRule type="cellIs" dxfId="294" priority="46" stopIfTrue="1" operator="lessThan">
      <formula>AH8-AH9-(0.01*(AH8-AH9))</formula>
    </cfRule>
  </conditionalFormatting>
  <conditionalFormatting sqref="AH12">
    <cfRule type="cellIs" dxfId="293" priority="45" stopIfTrue="1" operator="lessThan">
      <formula>AH10+AH11-(0.01*(AH10+AH11))</formula>
    </cfRule>
  </conditionalFormatting>
  <conditionalFormatting sqref="AJ10">
    <cfRule type="cellIs" dxfId="292" priority="44" stopIfTrue="1" operator="lessThan">
      <formula>AJ8-AJ9-(0.01*(AJ8-AJ9))</formula>
    </cfRule>
  </conditionalFormatting>
  <conditionalFormatting sqref="AJ12">
    <cfRule type="cellIs" dxfId="291" priority="43" stopIfTrue="1" operator="lessThan">
      <formula>AJ10+AJ11-(0.01*(AJ10+AJ11))</formula>
    </cfRule>
  </conditionalFormatting>
  <conditionalFormatting sqref="AN10">
    <cfRule type="cellIs" dxfId="290" priority="42" stopIfTrue="1" operator="lessThan">
      <formula>AN8-AN9-(0.01*(AN8-AN9))</formula>
    </cfRule>
  </conditionalFormatting>
  <conditionalFormatting sqref="AN12">
    <cfRule type="cellIs" dxfId="289" priority="41" stopIfTrue="1" operator="lessThan">
      <formula>AN10+AN11-(0.01*(AN10+AN11))</formula>
    </cfRule>
  </conditionalFormatting>
  <conditionalFormatting sqref="AP10">
    <cfRule type="cellIs" dxfId="288" priority="40" stopIfTrue="1" operator="lessThan">
      <formula>AP8-AP9-(0.01*(AP8-AP9))</formula>
    </cfRule>
  </conditionalFormatting>
  <conditionalFormatting sqref="AP12">
    <cfRule type="cellIs" dxfId="287" priority="39" stopIfTrue="1" operator="lessThan">
      <formula>AP10+AP11-(0.01*(AP10+AP11))</formula>
    </cfRule>
  </conditionalFormatting>
  <conditionalFormatting sqref="AR10">
    <cfRule type="cellIs" dxfId="286" priority="38" stopIfTrue="1" operator="lessThan">
      <formula>AR8-AR9-(0.01*(AR8-AR9))</formula>
    </cfRule>
  </conditionalFormatting>
  <conditionalFormatting sqref="AR12">
    <cfRule type="cellIs" dxfId="285" priority="37" stopIfTrue="1" operator="lessThan">
      <formula>AR10+AR11-(0.01*(AR10+AR11))</formula>
    </cfRule>
  </conditionalFormatting>
  <conditionalFormatting sqref="AT10">
    <cfRule type="cellIs" dxfId="284" priority="36" stopIfTrue="1" operator="lessThan">
      <formula>AT8-AT9-(0.01*(AT8-AT9))</formula>
    </cfRule>
  </conditionalFormatting>
  <conditionalFormatting sqref="AT12">
    <cfRule type="cellIs" dxfId="283" priority="35" stopIfTrue="1" operator="lessThan">
      <formula>AT10+AT11-(0.01*(AT10+AT11))</formula>
    </cfRule>
  </conditionalFormatting>
  <conditionalFormatting sqref="AV10">
    <cfRule type="cellIs" dxfId="282" priority="34" stopIfTrue="1" operator="lessThan">
      <formula>AV8-AV9-(0.01*(AV8-AV9))</formula>
    </cfRule>
  </conditionalFormatting>
  <conditionalFormatting sqref="AV12">
    <cfRule type="cellIs" dxfId="281" priority="33" stopIfTrue="1" operator="lessThan">
      <formula>AV10+AV11-(0.01*(AV10+AV11))</formula>
    </cfRule>
  </conditionalFormatting>
  <conditionalFormatting sqref="AX10">
    <cfRule type="cellIs" dxfId="280" priority="32" stopIfTrue="1" operator="lessThan">
      <formula>AX8-AX9-(0.01*(AX8-AX9))</formula>
    </cfRule>
  </conditionalFormatting>
  <conditionalFormatting sqref="AX12">
    <cfRule type="cellIs" dxfId="279" priority="31" stopIfTrue="1" operator="lessThan">
      <formula>AX10+AX11-(0.01*(AX10+AX11))</formula>
    </cfRule>
  </conditionalFormatting>
  <conditionalFormatting sqref="H13">
    <cfRule type="cellIs" dxfId="278" priority="30" stopIfTrue="1" operator="lessThan">
      <formula>0.99*(H14+H15)</formula>
    </cfRule>
  </conditionalFormatting>
  <conditionalFormatting sqref="J13">
    <cfRule type="cellIs" dxfId="277" priority="29" stopIfTrue="1" operator="lessThan">
      <formula>0.99*(J14+J15)</formula>
    </cfRule>
  </conditionalFormatting>
  <conditionalFormatting sqref="L13">
    <cfRule type="cellIs" dxfId="276" priority="28" stopIfTrue="1" operator="lessThan">
      <formula>0.99*(L14+L15)</formula>
    </cfRule>
  </conditionalFormatting>
  <conditionalFormatting sqref="N13">
    <cfRule type="cellIs" dxfId="275" priority="27" stopIfTrue="1" operator="lessThan">
      <formula>0.99*(N14+N15)</formula>
    </cfRule>
  </conditionalFormatting>
  <conditionalFormatting sqref="P13">
    <cfRule type="cellIs" dxfId="274" priority="26" stopIfTrue="1" operator="lessThan">
      <formula>0.99*(P14+P15)</formula>
    </cfRule>
  </conditionalFormatting>
  <conditionalFormatting sqref="R13">
    <cfRule type="cellIs" dxfId="273" priority="25" stopIfTrue="1" operator="lessThan">
      <formula>0.99*(R14+R15)</formula>
    </cfRule>
  </conditionalFormatting>
  <conditionalFormatting sqref="T13">
    <cfRule type="cellIs" dxfId="272" priority="24" stopIfTrue="1" operator="lessThan">
      <formula>0.99*(T14+T15)</formula>
    </cfRule>
  </conditionalFormatting>
  <conditionalFormatting sqref="V13">
    <cfRule type="cellIs" dxfId="271" priority="23" stopIfTrue="1" operator="lessThan">
      <formula>0.99*(V14+V15)</formula>
    </cfRule>
  </conditionalFormatting>
  <conditionalFormatting sqref="X13">
    <cfRule type="cellIs" dxfId="270" priority="22" stopIfTrue="1" operator="lessThan">
      <formula>0.99*(X14+X15)</formula>
    </cfRule>
  </conditionalFormatting>
  <conditionalFormatting sqref="Z13">
    <cfRule type="cellIs" dxfId="269" priority="21" stopIfTrue="1" operator="lessThan">
      <formula>0.99*(Z14+Z15)</formula>
    </cfRule>
  </conditionalFormatting>
  <conditionalFormatting sqref="AB13">
    <cfRule type="cellIs" dxfId="268" priority="20" stopIfTrue="1" operator="lessThan">
      <formula>0.99*(AB14+AB15)</formula>
    </cfRule>
  </conditionalFormatting>
  <conditionalFormatting sqref="AD13">
    <cfRule type="cellIs" dxfId="267" priority="19" stopIfTrue="1" operator="lessThan">
      <formula>0.99*(AD14+AD15)</formula>
    </cfRule>
  </conditionalFormatting>
  <conditionalFormatting sqref="AF13">
    <cfRule type="cellIs" dxfId="266" priority="18" stopIfTrue="1" operator="lessThan">
      <formula>0.99*(AF14+AF15)</formula>
    </cfRule>
  </conditionalFormatting>
  <conditionalFormatting sqref="AH13">
    <cfRule type="cellIs" dxfId="265" priority="17" stopIfTrue="1" operator="lessThan">
      <formula>0.99*(AH14+AH15)</formula>
    </cfRule>
  </conditionalFormatting>
  <conditionalFormatting sqref="AJ13">
    <cfRule type="cellIs" dxfId="264" priority="16" stopIfTrue="1" operator="lessThan">
      <formula>0.99*(AJ14+AJ15)</formula>
    </cfRule>
  </conditionalFormatting>
  <conditionalFormatting sqref="AR13">
    <cfRule type="cellIs" dxfId="263" priority="15" stopIfTrue="1" operator="lessThan">
      <formula>0.99*(AR14+AR15)</formula>
    </cfRule>
  </conditionalFormatting>
  <conditionalFormatting sqref="AN13">
    <cfRule type="cellIs" dxfId="262" priority="14" stopIfTrue="1" operator="lessThan">
      <formula>0.99*(AN14+AN15)</formula>
    </cfRule>
  </conditionalFormatting>
  <conditionalFormatting sqref="AP13">
    <cfRule type="cellIs" dxfId="261" priority="13" stopIfTrue="1" operator="lessThan">
      <formula>0.99*(AP14+AP15)</formula>
    </cfRule>
  </conditionalFormatting>
  <conditionalFormatting sqref="AT13">
    <cfRule type="cellIs" dxfId="260" priority="12" stopIfTrue="1" operator="lessThan">
      <formula>0.99*(AT14+AT15)</formula>
    </cfRule>
  </conditionalFormatting>
  <conditionalFormatting sqref="AV13">
    <cfRule type="cellIs" dxfId="259" priority="11" stopIfTrue="1" operator="lessThan">
      <formula>0.99*(AV14+AV15)</formula>
    </cfRule>
  </conditionalFormatting>
  <conditionalFormatting sqref="AX13">
    <cfRule type="cellIs" dxfId="258" priority="10" stopIfTrue="1" operator="lessThan">
      <formula>0.99*(AX14+AX15)</formula>
    </cfRule>
  </conditionalFormatting>
  <conditionalFormatting sqref="AL10">
    <cfRule type="cellIs" dxfId="257" priority="9" stopIfTrue="1" operator="lessThan">
      <formula>AL8-AL9-(0.01*(AL8-AL9))</formula>
    </cfRule>
  </conditionalFormatting>
  <conditionalFormatting sqref="AL12">
    <cfRule type="cellIs" dxfId="256" priority="8" stopIfTrue="1" operator="lessThan">
      <formula>AL10+AL11-(0.01*(AL10+AL11))</formula>
    </cfRule>
  </conditionalFormatting>
  <conditionalFormatting sqref="AL13">
    <cfRule type="cellIs" dxfId="255" priority="7" stopIfTrue="1" operator="lessThan">
      <formula>0.99*(AL14+AL15)</formula>
    </cfRule>
  </conditionalFormatting>
  <conditionalFormatting sqref="BE32 BE35 BE38 BE29">
    <cfRule type="cellIs" dxfId="254" priority="6" stopIfTrue="1" operator="greaterThan">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dxfId="253" priority="5" stopIfTrue="1" operator="equal">
      <formula>"&lt;&gt;"</formula>
    </cfRule>
  </conditionalFormatting>
  <conditionalFormatting sqref="BS8:BS16 BU8:BU16 BW8:BW16 BY8:BY16 CA8:CA16 CC8:CC16 CE8:CE16 CG8:CG16 CI8:CI16 CK8:CK16 CM8:CM16 CO8:CO16 CQ8:CQ16 CS8:CS16 CU8:CU16 BI8:BI16 BK8:BK16 BM8:BM16 BO8:BO16 BQ8:BQ16">
    <cfRule type="cellIs" dxfId="252" priority="4" stopIfTrue="1" operator="equal">
      <formula>"&gt; 25%"</formula>
    </cfRule>
  </conditionalFormatting>
  <conditionalFormatting sqref="F10">
    <cfRule type="cellIs" dxfId="251" priority="3" stopIfTrue="1" operator="lessThan">
      <formula>F8-F9-(0.01*(F8-F9))</formula>
    </cfRule>
  </conditionalFormatting>
  <conditionalFormatting sqref="F12">
    <cfRule type="cellIs" dxfId="250" priority="2" stopIfTrue="1" operator="lessThan">
      <formula>F10+F11-(0.01*(F10+F11))</formula>
    </cfRule>
  </conditionalFormatting>
  <conditionalFormatting sqref="F13">
    <cfRule type="cellIs" dxfId="249" priority="1" stopIfTrue="1" operator="lessThan">
      <formula>0.99*(F14+F15)</formula>
    </cfRule>
  </conditionalFormatting>
  <printOptions horizontalCentered="1"/>
  <pageMargins left="0.55118110236220474" right="0.39370078740157483" top="0.6692913385826772" bottom="0.98425196850393704" header="0.43307086614173229" footer="0.51181102362204722"/>
  <pageSetup paperSize="9" scale="57" orientation="landscape" r:id="rId1"/>
  <headerFooter alignWithMargins="0">
    <oddFooter>&amp;C&amp;"Arial,Normal"&amp;8Questionnaire UNSD/PNUE 2013 sur les Statistiques de l'environnement - Section d'eau - p.&amp;P</oddFooter>
  </headerFooter>
  <rowBreaks count="1" manualBreakCount="1">
    <brk id="32" min="1" max="45" man="1"/>
  </rowBreaks>
  <colBreaks count="1" manualBreakCount="1">
    <brk id="52"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H79"/>
  <sheetViews>
    <sheetView showGridLines="0" topLeftCell="C1" zoomScale="85" zoomScaleNormal="85" zoomScaleSheetLayoutView="85" workbookViewId="0">
      <selection activeCell="C1" sqref="C1"/>
    </sheetView>
  </sheetViews>
  <sheetFormatPr defaultColWidth="9.33203125" defaultRowHeight="12.75" x14ac:dyDescent="0.2"/>
  <cols>
    <col min="1" max="1" width="2.1640625" style="623" hidden="1" customWidth="1"/>
    <col min="2" max="2" width="5.1640625" style="176" hidden="1" customWidth="1"/>
    <col min="3" max="3" width="7.33203125" style="627" customWidth="1"/>
    <col min="4" max="4" width="47.5" style="627" customWidth="1"/>
    <col min="5" max="5" width="9.5" style="627" customWidth="1"/>
    <col min="6" max="6" width="6.1640625" style="627" customWidth="1"/>
    <col min="7" max="7" width="1.83203125" style="263" customWidth="1"/>
    <col min="8" max="8" width="6.1640625" style="264" hidden="1" customWidth="1"/>
    <col min="9" max="9" width="1.83203125" style="265" hidden="1" customWidth="1"/>
    <col min="10" max="10" width="6.1640625" style="265" hidden="1" customWidth="1"/>
    <col min="11" max="11" width="1.83203125" style="265" hidden="1" customWidth="1"/>
    <col min="12" max="12" width="6.1640625" style="265" hidden="1" customWidth="1"/>
    <col min="13" max="13" width="1.83203125" style="265" hidden="1" customWidth="1"/>
    <col min="14" max="14" width="6.1640625" style="265" hidden="1" customWidth="1"/>
    <col min="15" max="15" width="1.83203125" style="265" hidden="1" customWidth="1"/>
    <col min="16" max="16" width="6.1640625" style="264" hidden="1" customWidth="1"/>
    <col min="17" max="17" width="1.83203125" style="265" hidden="1" customWidth="1"/>
    <col min="18" max="18" width="6.1640625" style="264" hidden="1" customWidth="1"/>
    <col min="19" max="19" width="1.83203125" style="265" hidden="1" customWidth="1"/>
    <col min="20" max="20" width="6.1640625" style="264" hidden="1" customWidth="1"/>
    <col min="21" max="21" width="1.83203125" style="265" hidden="1" customWidth="1"/>
    <col min="22" max="22" width="6.1640625" style="264" hidden="1" customWidth="1"/>
    <col min="23" max="23" width="1.83203125" style="263" hidden="1" customWidth="1"/>
    <col min="24" max="24" width="6.1640625" style="264" hidden="1" customWidth="1"/>
    <col min="25" max="25" width="1.83203125" style="263" hidden="1" customWidth="1"/>
    <col min="26" max="26" width="6.1640625" style="264" customWidth="1"/>
    <col min="27" max="27" width="1.83203125" style="263" customWidth="1"/>
    <col min="28" max="28" width="6.1640625" style="264" customWidth="1"/>
    <col min="29" max="29" width="1.83203125" style="263" customWidth="1"/>
    <col min="30" max="30" width="6.1640625" style="264" customWidth="1"/>
    <col min="31" max="31" width="1.83203125" style="263" customWidth="1"/>
    <col min="32" max="32" width="6.1640625" style="264" customWidth="1"/>
    <col min="33" max="33" width="1.83203125" style="263" customWidth="1"/>
    <col min="34" max="34" width="6.1640625" style="264" customWidth="1"/>
    <col min="35" max="35" width="1.83203125" style="265" customWidth="1"/>
    <col min="36" max="36" width="6.1640625" style="264" customWidth="1"/>
    <col min="37" max="37" width="1.83203125" style="263" customWidth="1"/>
    <col min="38" max="38" width="6.1640625" style="264" customWidth="1"/>
    <col min="39" max="39" width="1.83203125" style="263" customWidth="1"/>
    <col min="40" max="40" width="6.1640625" style="264" customWidth="1"/>
    <col min="41" max="41" width="1.83203125" style="263" customWidth="1"/>
    <col min="42" max="42" width="6.1640625" style="263" customWidth="1"/>
    <col min="43" max="43" width="2" style="263" customWidth="1"/>
    <col min="44" max="44" width="6.1640625" style="263" customWidth="1"/>
    <col min="45" max="45" width="1.83203125" style="263" customWidth="1"/>
    <col min="46" max="46" width="6.1640625" style="264" customWidth="1"/>
    <col min="47" max="47" width="1.83203125" style="627" customWidth="1"/>
    <col min="48" max="48" width="6.1640625" style="264" customWidth="1"/>
    <col min="49" max="49" width="1.83203125" style="627" customWidth="1"/>
    <col min="50" max="50" width="1.1640625" style="627" customWidth="1"/>
    <col min="51" max="51" width="2" style="626" customWidth="1"/>
    <col min="52" max="52" width="7.6640625" style="626" customWidth="1"/>
    <col min="53" max="53" width="41.33203125" style="626" customWidth="1"/>
    <col min="54" max="54" width="9.33203125" style="626"/>
    <col min="55" max="55" width="6.1640625" style="626" customWidth="1"/>
    <col min="56" max="56" width="0.5" style="626" customWidth="1"/>
    <col min="57" max="57" width="6.1640625" style="626" customWidth="1"/>
    <col min="58" max="58" width="0.5" style="626" customWidth="1"/>
    <col min="59" max="59" width="6.5" style="626" bestFit="1" customWidth="1"/>
    <col min="60" max="60" width="0.5" style="626" customWidth="1"/>
    <col min="61" max="61" width="6.5" style="626" bestFit="1" customWidth="1"/>
    <col min="62" max="62" width="0.5" style="626" customWidth="1"/>
    <col min="63" max="63" width="6.5" style="626" bestFit="1" customWidth="1"/>
    <col min="64" max="64" width="0.5" style="626" customWidth="1"/>
    <col min="65" max="65" width="6.1640625" style="626" customWidth="1"/>
    <col min="66" max="66" width="0.5" style="626" customWidth="1"/>
    <col min="67" max="67" width="6.1640625" style="626" customWidth="1"/>
    <col min="68" max="68" width="0.5" style="626" customWidth="1"/>
    <col min="69" max="69" width="6.1640625" style="626" customWidth="1"/>
    <col min="70" max="70" width="0.5" style="626" customWidth="1"/>
    <col min="71" max="71" width="6.1640625" style="626" customWidth="1"/>
    <col min="72" max="72" width="0.5" style="626" customWidth="1"/>
    <col min="73" max="73" width="6.1640625" style="626" customWidth="1"/>
    <col min="74" max="74" width="0.5" style="626" customWidth="1"/>
    <col min="75" max="75" width="6.1640625" style="626" customWidth="1"/>
    <col min="76" max="76" width="0.5" style="626" customWidth="1"/>
    <col min="77" max="77" width="6.1640625" style="626" customWidth="1"/>
    <col min="78" max="78" width="0.5" style="626" customWidth="1"/>
    <col min="79" max="79" width="6.1640625" style="626" customWidth="1"/>
    <col min="80" max="80" width="0.5" style="626" customWidth="1"/>
    <col min="81" max="81" width="6.1640625" style="626" customWidth="1"/>
    <col min="82" max="82" width="0.5" style="626" customWidth="1"/>
    <col min="83" max="83" width="6.1640625" style="626" customWidth="1"/>
    <col min="84" max="84" width="0.5" style="626" customWidth="1"/>
    <col min="85" max="85" width="5.83203125" style="626" customWidth="1"/>
    <col min="86" max="86" width="0.5" style="626" customWidth="1"/>
    <col min="87" max="87" width="5.83203125" style="626" customWidth="1"/>
    <col min="88" max="88" width="0.33203125" style="626" customWidth="1"/>
    <col min="89" max="89" width="5.83203125" style="626" customWidth="1"/>
    <col min="90" max="90" width="0.33203125" style="626" customWidth="1"/>
    <col min="91" max="91" width="5.83203125" style="626" customWidth="1"/>
    <col min="92" max="92" width="0.33203125" style="626" customWidth="1"/>
    <col min="93" max="93" width="5.83203125" style="626" customWidth="1"/>
    <col min="94" max="94" width="0.33203125" style="626" customWidth="1"/>
    <col min="95" max="95" width="6.33203125" style="626" customWidth="1"/>
    <col min="96" max="96" width="0.33203125" style="626" customWidth="1"/>
    <col min="97" max="97" width="6.33203125" style="626" customWidth="1"/>
    <col min="98" max="98" width="0.33203125" style="626" customWidth="1"/>
    <col min="99" max="16384" width="9.33203125" style="627"/>
  </cols>
  <sheetData>
    <row r="1" spans="1:100" ht="16.5" customHeight="1" x14ac:dyDescent="0.25">
      <c r="B1" s="176">
        <v>0</v>
      </c>
      <c r="C1" s="177" t="s">
        <v>610</v>
      </c>
      <c r="D1" s="177"/>
      <c r="E1" s="321"/>
      <c r="F1" s="321"/>
      <c r="G1" s="322"/>
      <c r="H1" s="323"/>
      <c r="I1" s="324"/>
      <c r="J1" s="324"/>
      <c r="K1" s="324"/>
      <c r="L1" s="324"/>
      <c r="M1" s="324"/>
      <c r="N1" s="324"/>
      <c r="O1" s="324"/>
      <c r="P1" s="323"/>
      <c r="Q1" s="324"/>
      <c r="R1" s="323"/>
      <c r="S1" s="324"/>
      <c r="T1" s="323"/>
      <c r="U1" s="324"/>
      <c r="V1" s="323"/>
      <c r="W1" s="322"/>
      <c r="X1" s="323"/>
      <c r="Y1" s="322"/>
      <c r="Z1" s="323"/>
      <c r="AA1" s="322"/>
      <c r="AB1" s="323"/>
      <c r="AC1" s="322"/>
      <c r="AD1" s="323"/>
      <c r="AE1" s="322"/>
      <c r="AF1" s="323"/>
      <c r="AG1" s="322"/>
      <c r="AH1" s="323"/>
      <c r="AI1" s="324"/>
      <c r="AJ1" s="323"/>
      <c r="AK1" s="322"/>
      <c r="AL1" s="323"/>
      <c r="AM1" s="322"/>
      <c r="AN1" s="323"/>
      <c r="AO1" s="322"/>
      <c r="AP1" s="322"/>
      <c r="AQ1" s="322"/>
      <c r="AR1" s="322"/>
      <c r="AS1" s="322"/>
      <c r="AT1" s="323"/>
      <c r="AU1" s="635"/>
      <c r="AV1" s="323"/>
      <c r="AW1" s="635"/>
      <c r="AX1" s="635"/>
      <c r="AZ1" s="188" t="s">
        <v>470</v>
      </c>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row>
    <row r="2" spans="1:100" ht="1.5" customHeight="1" x14ac:dyDescent="0.2">
      <c r="E2" s="325"/>
      <c r="F2" s="325"/>
      <c r="G2" s="326"/>
      <c r="H2" s="327"/>
      <c r="I2" s="328"/>
      <c r="J2" s="328"/>
      <c r="K2" s="328"/>
      <c r="L2" s="328"/>
      <c r="M2" s="328"/>
      <c r="N2" s="328"/>
      <c r="O2" s="328"/>
      <c r="P2" s="327"/>
      <c r="Q2" s="328"/>
      <c r="R2" s="327"/>
      <c r="S2" s="328"/>
      <c r="T2" s="327"/>
      <c r="U2" s="328"/>
      <c r="V2" s="327"/>
      <c r="W2" s="329"/>
      <c r="AZ2" s="612"/>
      <c r="BA2" s="612"/>
      <c r="BB2" s="612"/>
      <c r="BC2" s="612"/>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2"/>
      <c r="CE2" s="612"/>
      <c r="CF2" s="612"/>
      <c r="CG2" s="612"/>
      <c r="CH2" s="612"/>
      <c r="CI2" s="612"/>
      <c r="CJ2" s="612"/>
      <c r="CK2" s="612"/>
      <c r="CL2" s="612"/>
      <c r="CM2" s="612"/>
      <c r="CN2" s="612"/>
      <c r="CO2" s="612"/>
      <c r="CP2" s="612"/>
      <c r="CQ2" s="612"/>
      <c r="CR2" s="612"/>
      <c r="CS2" s="612"/>
    </row>
    <row r="3" spans="1:100" s="346" customFormat="1" ht="17.25" customHeight="1" x14ac:dyDescent="0.25">
      <c r="A3" s="275"/>
      <c r="B3" s="275">
        <v>504</v>
      </c>
      <c r="C3" s="330" t="s">
        <v>323</v>
      </c>
      <c r="D3" s="590" t="s">
        <v>102</v>
      </c>
      <c r="E3" s="412"/>
      <c r="F3" s="413"/>
      <c r="G3" s="414"/>
      <c r="H3" s="415"/>
      <c r="I3" s="416"/>
      <c r="J3" s="416"/>
      <c r="K3" s="416"/>
      <c r="L3" s="416"/>
      <c r="M3" s="416"/>
      <c r="N3" s="416"/>
      <c r="O3" s="416"/>
      <c r="P3" s="415"/>
      <c r="Q3" s="416"/>
      <c r="R3" s="415"/>
      <c r="S3" s="416"/>
      <c r="T3" s="415"/>
      <c r="U3" s="416"/>
      <c r="V3" s="415"/>
      <c r="W3" s="414"/>
      <c r="X3" s="415"/>
      <c r="Y3" s="417"/>
      <c r="Z3" s="105"/>
      <c r="AA3" s="417"/>
      <c r="AB3" s="53"/>
      <c r="AC3" s="330" t="s">
        <v>297</v>
      </c>
      <c r="AD3" s="332"/>
      <c r="AE3" s="331"/>
      <c r="AF3" s="332"/>
      <c r="AG3" s="333"/>
      <c r="AH3" s="332"/>
      <c r="AI3" s="331"/>
      <c r="AJ3" s="26"/>
      <c r="AK3" s="26"/>
      <c r="AL3" s="663" t="s">
        <v>638</v>
      </c>
      <c r="AM3" s="664"/>
      <c r="AN3" s="665"/>
      <c r="AO3" s="662"/>
      <c r="AP3" s="662"/>
      <c r="AQ3" s="662"/>
      <c r="AR3" s="662"/>
      <c r="AS3" s="418"/>
      <c r="AT3" s="419"/>
      <c r="AU3" s="419"/>
      <c r="AV3" s="419"/>
      <c r="AW3" s="419"/>
      <c r="AX3" s="419"/>
      <c r="AY3" s="336"/>
      <c r="AZ3" s="337" t="s">
        <v>444</v>
      </c>
      <c r="BA3" s="338"/>
      <c r="BB3" s="339"/>
      <c r="BC3" s="340"/>
      <c r="BD3" s="340"/>
      <c r="BE3" s="341"/>
      <c r="BF3" s="341"/>
      <c r="BG3" s="341"/>
      <c r="BH3" s="341"/>
      <c r="BI3" s="341"/>
      <c r="BJ3" s="341"/>
      <c r="BK3" s="341"/>
      <c r="BL3" s="341"/>
      <c r="BM3" s="341"/>
      <c r="BN3" s="341"/>
      <c r="BO3" s="342"/>
      <c r="BP3" s="342"/>
      <c r="BQ3" s="342"/>
      <c r="BR3" s="342"/>
      <c r="BS3" s="342"/>
      <c r="BT3" s="342"/>
      <c r="BU3" s="343"/>
      <c r="BV3" s="343"/>
      <c r="BW3" s="339"/>
      <c r="BX3" s="339"/>
      <c r="BY3" s="339"/>
      <c r="BZ3" s="339"/>
      <c r="CA3" s="339"/>
      <c r="CB3" s="339"/>
      <c r="CC3" s="343"/>
      <c r="CD3" s="343"/>
      <c r="CE3" s="339"/>
      <c r="CF3" s="339"/>
      <c r="CG3" s="339"/>
      <c r="CH3" s="339"/>
      <c r="CI3" s="339"/>
      <c r="CJ3" s="339"/>
      <c r="CK3" s="339"/>
      <c r="CL3" s="339"/>
      <c r="CM3" s="339"/>
      <c r="CN3" s="339"/>
      <c r="CO3" s="339"/>
      <c r="CP3" s="339"/>
      <c r="CQ3" s="339"/>
      <c r="CR3" s="339"/>
      <c r="CS3" s="339"/>
      <c r="CT3" s="344"/>
      <c r="CU3" s="345"/>
      <c r="CV3" s="345"/>
    </row>
    <row r="4" spans="1:100" ht="1.5" customHeight="1" x14ac:dyDescent="0.2">
      <c r="E4" s="347"/>
      <c r="F4" s="347"/>
      <c r="Z4" s="334"/>
      <c r="AA4" s="329"/>
      <c r="AB4" s="334"/>
      <c r="AJ4" s="420"/>
      <c r="AK4" s="421"/>
      <c r="AL4" s="422"/>
      <c r="AM4" s="33"/>
      <c r="AN4" s="420"/>
      <c r="AO4" s="33"/>
      <c r="AP4" s="33"/>
      <c r="AQ4" s="33"/>
      <c r="AR4" s="33"/>
      <c r="AS4" s="33"/>
      <c r="AT4" s="420"/>
      <c r="AU4" s="636"/>
      <c r="AV4" s="420"/>
      <c r="AW4" s="636"/>
      <c r="AX4" s="637"/>
      <c r="AZ4" s="313"/>
      <c r="BA4" s="313"/>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row>
    <row r="5" spans="1:100" ht="17.25" customHeight="1" x14ac:dyDescent="0.25">
      <c r="B5" s="216">
        <v>23</v>
      </c>
      <c r="C5" s="769" t="s">
        <v>534</v>
      </c>
      <c r="D5" s="769"/>
      <c r="E5" s="770"/>
      <c r="F5" s="770"/>
      <c r="G5" s="770"/>
      <c r="H5" s="771"/>
      <c r="I5" s="771"/>
      <c r="J5" s="771"/>
      <c r="K5" s="771"/>
      <c r="L5" s="771"/>
      <c r="M5" s="771"/>
      <c r="N5" s="771"/>
      <c r="O5" s="771"/>
      <c r="P5" s="771"/>
      <c r="Q5" s="771"/>
      <c r="R5" s="771"/>
      <c r="S5" s="771"/>
      <c r="T5" s="771"/>
      <c r="U5" s="771"/>
      <c r="V5" s="771"/>
      <c r="W5" s="770"/>
      <c r="X5" s="771"/>
      <c r="Y5" s="770"/>
      <c r="Z5" s="771"/>
      <c r="AA5" s="770"/>
      <c r="AB5" s="771"/>
      <c r="AC5" s="770"/>
      <c r="AD5" s="771"/>
      <c r="AE5" s="770"/>
      <c r="AF5" s="771"/>
      <c r="AG5" s="770"/>
      <c r="AH5" s="771"/>
      <c r="AI5" s="771"/>
      <c r="AJ5" s="771"/>
      <c r="AK5" s="770"/>
      <c r="AL5" s="771"/>
      <c r="AM5" s="770"/>
      <c r="AN5" s="348"/>
      <c r="AO5" s="349"/>
      <c r="AP5" s="349"/>
      <c r="AQ5" s="349"/>
      <c r="AR5" s="349"/>
      <c r="AS5" s="349"/>
      <c r="AT5" s="348"/>
      <c r="AU5" s="638"/>
      <c r="AV5" s="348"/>
      <c r="AW5" s="638"/>
      <c r="AX5" s="638"/>
      <c r="AZ5" s="350" t="s">
        <v>445</v>
      </c>
      <c r="BA5" s="313"/>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row>
    <row r="6" spans="1:100" ht="14.25" customHeight="1" x14ac:dyDescent="0.25">
      <c r="D6" s="620" t="s">
        <v>537</v>
      </c>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351"/>
      <c r="AH6" s="352"/>
      <c r="AJ6" s="352"/>
      <c r="AK6" s="353"/>
      <c r="AL6" s="352"/>
      <c r="AN6" s="352"/>
      <c r="AO6" s="354"/>
      <c r="AP6" s="354"/>
      <c r="AQ6" s="354"/>
      <c r="AR6" s="354"/>
      <c r="AS6" s="354"/>
      <c r="AT6" s="210"/>
      <c r="AV6" s="210"/>
      <c r="AW6" s="355" t="s">
        <v>520</v>
      </c>
      <c r="AX6" s="210"/>
      <c r="AZ6" s="357" t="s">
        <v>628</v>
      </c>
      <c r="BA6" s="313"/>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row>
    <row r="7" spans="1:100" s="222" customFormat="1" ht="14.25" customHeight="1" x14ac:dyDescent="0.2">
      <c r="A7" s="215"/>
      <c r="B7" s="216">
        <v>2</v>
      </c>
      <c r="C7" s="218" t="s">
        <v>299</v>
      </c>
      <c r="D7" s="218" t="s">
        <v>300</v>
      </c>
      <c r="E7" s="218" t="s">
        <v>301</v>
      </c>
      <c r="F7" s="217">
        <v>1990</v>
      </c>
      <c r="G7" s="219"/>
      <c r="H7" s="218">
        <v>1995</v>
      </c>
      <c r="I7" s="219"/>
      <c r="J7" s="218">
        <v>1996</v>
      </c>
      <c r="K7" s="219"/>
      <c r="L7" s="218">
        <v>1997</v>
      </c>
      <c r="M7" s="219"/>
      <c r="N7" s="218">
        <v>1998</v>
      </c>
      <c r="O7" s="219"/>
      <c r="P7" s="218">
        <v>1999</v>
      </c>
      <c r="Q7" s="219"/>
      <c r="R7" s="218">
        <v>2000</v>
      </c>
      <c r="S7" s="219"/>
      <c r="T7" s="218">
        <v>2001</v>
      </c>
      <c r="U7" s="219"/>
      <c r="V7" s="218">
        <v>2002</v>
      </c>
      <c r="W7" s="219"/>
      <c r="X7" s="218">
        <v>2003</v>
      </c>
      <c r="Y7" s="219"/>
      <c r="Z7" s="218">
        <v>2004</v>
      </c>
      <c r="AA7" s="219"/>
      <c r="AB7" s="218">
        <v>2005</v>
      </c>
      <c r="AC7" s="219"/>
      <c r="AD7" s="218">
        <v>2006</v>
      </c>
      <c r="AE7" s="219"/>
      <c r="AF7" s="218">
        <v>2007</v>
      </c>
      <c r="AG7" s="219"/>
      <c r="AH7" s="218">
        <v>2008</v>
      </c>
      <c r="AI7" s="219"/>
      <c r="AJ7" s="218">
        <v>2009</v>
      </c>
      <c r="AK7" s="218"/>
      <c r="AL7" s="218">
        <v>2010</v>
      </c>
      <c r="AM7" s="218"/>
      <c r="AN7" s="218">
        <v>2011</v>
      </c>
      <c r="AO7" s="219"/>
      <c r="AP7" s="218">
        <v>2012</v>
      </c>
      <c r="AQ7" s="218"/>
      <c r="AR7" s="218">
        <v>2013</v>
      </c>
      <c r="AS7" s="218"/>
      <c r="AT7" s="218">
        <v>2014</v>
      </c>
      <c r="AU7" s="219"/>
      <c r="AV7" s="218">
        <v>2015</v>
      </c>
      <c r="AW7" s="219"/>
      <c r="AY7" s="215"/>
      <c r="AZ7" s="218" t="s">
        <v>600</v>
      </c>
      <c r="BA7" s="218" t="s">
        <v>601</v>
      </c>
      <c r="BB7" s="218" t="s">
        <v>603</v>
      </c>
      <c r="BC7" s="217">
        <v>1990</v>
      </c>
      <c r="BD7" s="217"/>
      <c r="BE7" s="218">
        <v>1995</v>
      </c>
      <c r="BF7" s="218"/>
      <c r="BG7" s="218">
        <v>1996</v>
      </c>
      <c r="BH7" s="218"/>
      <c r="BI7" s="218">
        <v>1997</v>
      </c>
      <c r="BJ7" s="218"/>
      <c r="BK7" s="218">
        <v>1998</v>
      </c>
      <c r="BL7" s="218"/>
      <c r="BM7" s="218">
        <v>1999</v>
      </c>
      <c r="BN7" s="218"/>
      <c r="BO7" s="218">
        <v>2000</v>
      </c>
      <c r="BP7" s="218"/>
      <c r="BQ7" s="218">
        <v>2001</v>
      </c>
      <c r="BR7" s="218"/>
      <c r="BS7" s="218">
        <v>2002</v>
      </c>
      <c r="BT7" s="218"/>
      <c r="BU7" s="218">
        <v>2003</v>
      </c>
      <c r="BV7" s="218"/>
      <c r="BW7" s="218">
        <v>2004</v>
      </c>
      <c r="BX7" s="218"/>
      <c r="BY7" s="218">
        <v>2005</v>
      </c>
      <c r="BZ7" s="218"/>
      <c r="CA7" s="218">
        <v>2006</v>
      </c>
      <c r="CB7" s="218"/>
      <c r="CC7" s="218">
        <v>2007</v>
      </c>
      <c r="CD7" s="218"/>
      <c r="CE7" s="218">
        <v>2008</v>
      </c>
      <c r="CF7" s="218"/>
      <c r="CG7" s="218">
        <v>2009</v>
      </c>
      <c r="CH7" s="218"/>
      <c r="CI7" s="218">
        <v>2010</v>
      </c>
      <c r="CJ7" s="218"/>
      <c r="CK7" s="218">
        <v>2011</v>
      </c>
      <c r="CL7" s="218"/>
      <c r="CM7" s="218">
        <v>2012</v>
      </c>
      <c r="CN7" s="218"/>
      <c r="CO7" s="218">
        <v>2013</v>
      </c>
      <c r="CP7" s="218"/>
      <c r="CQ7" s="218">
        <v>2014</v>
      </c>
      <c r="CR7" s="218"/>
      <c r="CS7" s="218">
        <v>2015</v>
      </c>
      <c r="CT7" s="219"/>
    </row>
    <row r="8" spans="1:100" s="220" customFormat="1" ht="14.85" customHeight="1" x14ac:dyDescent="0.2">
      <c r="A8" s="215"/>
      <c r="B8" s="358">
        <v>24</v>
      </c>
      <c r="C8" s="227">
        <v>1</v>
      </c>
      <c r="D8" s="639" t="s">
        <v>238</v>
      </c>
      <c r="E8" s="244" t="s">
        <v>302</v>
      </c>
      <c r="F8" s="581">
        <v>3801</v>
      </c>
      <c r="G8" s="640"/>
      <c r="H8" s="581">
        <v>3420</v>
      </c>
      <c r="I8" s="640"/>
      <c r="J8" s="581">
        <v>4058</v>
      </c>
      <c r="K8" s="640"/>
      <c r="L8" s="581">
        <v>3894</v>
      </c>
      <c r="M8" s="640"/>
      <c r="N8" s="581">
        <v>3609</v>
      </c>
      <c r="O8" s="640"/>
      <c r="P8" s="581">
        <v>3870</v>
      </c>
      <c r="Q8" s="640"/>
      <c r="R8" s="581">
        <v>2937</v>
      </c>
      <c r="S8" s="596" t="s">
        <v>634</v>
      </c>
      <c r="T8" s="581">
        <v>2969</v>
      </c>
      <c r="U8" s="596" t="s">
        <v>634</v>
      </c>
      <c r="V8" s="581">
        <v>3344</v>
      </c>
      <c r="W8" s="596" t="s">
        <v>634</v>
      </c>
      <c r="X8" s="581">
        <v>3555</v>
      </c>
      <c r="Y8" s="596" t="s">
        <v>634</v>
      </c>
      <c r="Z8" s="581">
        <v>4113</v>
      </c>
      <c r="AA8" s="596"/>
      <c r="AB8" s="581">
        <v>3398</v>
      </c>
      <c r="AC8" s="596"/>
      <c r="AD8" s="581">
        <v>3979</v>
      </c>
      <c r="AE8" s="596"/>
      <c r="AF8" s="581">
        <v>3548</v>
      </c>
      <c r="AG8" s="596"/>
      <c r="AH8" s="581">
        <v>3014</v>
      </c>
      <c r="AI8" s="596"/>
      <c r="AJ8" s="581">
        <v>3572</v>
      </c>
      <c r="AK8" s="596"/>
      <c r="AL8" s="581">
        <v>4330</v>
      </c>
      <c r="AM8" s="596"/>
      <c r="AN8" s="581">
        <v>4918</v>
      </c>
      <c r="AO8" s="596"/>
      <c r="AP8" s="581">
        <v>3870</v>
      </c>
      <c r="AQ8" s="596"/>
      <c r="AR8" s="581"/>
      <c r="AS8" s="596"/>
      <c r="AT8" s="581"/>
      <c r="AU8" s="596"/>
      <c r="AV8" s="581"/>
      <c r="AW8" s="596"/>
      <c r="AY8" s="360"/>
      <c r="AZ8" s="95">
        <v>1</v>
      </c>
      <c r="BA8" s="290" t="s">
        <v>481</v>
      </c>
      <c r="BB8" s="95" t="s">
        <v>468</v>
      </c>
      <c r="BC8" s="78" t="s">
        <v>471</v>
      </c>
      <c r="BD8" s="233"/>
      <c r="BE8" s="78" t="str">
        <f>IF(OR(ISBLANK(F8),ISBLANK(H8)),"N/A",IF(ABS((H8-F8)/F8)&gt;1,"&gt; 100%","ok"))</f>
        <v>ok</v>
      </c>
      <c r="BF8" s="233"/>
      <c r="BG8" s="78" t="str">
        <f>IF(OR(ISBLANK(H8),ISBLANK(J8)),"N/A",IF(ABS((J8-H8)/H8)&gt;0.25,"&gt; 25%","ok"))</f>
        <v>ok</v>
      </c>
      <c r="BH8" s="78"/>
      <c r="BI8" s="78" t="str">
        <f>IF(OR(ISBLANK(J8),ISBLANK(L8)),"N/A",IF(ABS((L8-J8)/J8)&gt;0.25,"&gt; 25%","ok"))</f>
        <v>ok</v>
      </c>
      <c r="BJ8" s="78"/>
      <c r="BK8" s="78" t="str">
        <f>IF(OR(ISBLANK(L8),ISBLANK(N8)),"N/A",IF(ABS((N8-L8)/L8)&gt;0.25,"&gt; 25%","ok"))</f>
        <v>ok</v>
      </c>
      <c r="BL8" s="78"/>
      <c r="BM8" s="78" t="str">
        <f>IF(OR(ISBLANK(N8),ISBLANK(P8)),"N/A",IF(ABS((P8-N8)/N8)&gt;0.25,"&gt; 25%","ok"))</f>
        <v>ok</v>
      </c>
      <c r="BN8" s="78"/>
      <c r="BO8" s="78" t="str">
        <f>IF(OR(ISBLANK(P8),ISBLANK(R8)),"N/A",IF(ABS((R8-P8)/P8)&gt;0.25,"&gt; 25%","ok"))</f>
        <v>ok</v>
      </c>
      <c r="BP8" s="78"/>
      <c r="BQ8" s="78" t="str">
        <f>IF(OR(ISBLANK(R8),ISBLANK(T8)),"N/A",IF(ABS((T8-R8)/R8)&gt;0.25,"&gt; 25%","ok"))</f>
        <v>ok</v>
      </c>
      <c r="BR8" s="78"/>
      <c r="BS8" s="78" t="str">
        <f>IF(OR(ISBLANK(T8),ISBLANK(V8)),"N/A",IF(ABS((V8-T8)/T8)&gt;0.25,"&gt; 25%","ok"))</f>
        <v>ok</v>
      </c>
      <c r="BT8" s="78"/>
      <c r="BU8" s="78" t="str">
        <f>IF(OR(ISBLANK(V8),ISBLANK(X8)),"N/A",IF(ABS((X8-V8)/V8)&gt;0.25,"&gt; 25%","ok"))</f>
        <v>ok</v>
      </c>
      <c r="BV8" s="78"/>
      <c r="BW8" s="78" t="str">
        <f>IF(OR(ISBLANK(X8),ISBLANK(Z8)),"N/A",IF(ABS((Z8-X8)/X8)&gt;0.25,"&gt; 25%","ok"))</f>
        <v>ok</v>
      </c>
      <c r="BX8" s="78"/>
      <c r="BY8" s="78" t="str">
        <f>IF(OR(ISBLANK(Z8),ISBLANK(AB8)),"N/A",IF(ABS((AB8-Z8)/Z8)&gt;0.25,"&gt; 25%","ok"))</f>
        <v>ok</v>
      </c>
      <c r="BZ8" s="78"/>
      <c r="CA8" s="78" t="str">
        <f>IF(OR(ISBLANK(AB8),ISBLANK(AD8)),"N/A",IF(ABS((AD8-AB8)/AB8)&gt;0.25,"&gt; 25%","ok"))</f>
        <v>ok</v>
      </c>
      <c r="CB8" s="78"/>
      <c r="CC8" s="78" t="str">
        <f>IF(OR(ISBLANK(AD8),ISBLANK(AF8)),"N/A",IF(ABS((AF8-AD8)/AD8)&gt;0.25,"&gt; 25%","ok"))</f>
        <v>ok</v>
      </c>
      <c r="CD8" s="78"/>
      <c r="CE8" s="78" t="str">
        <f>IF(OR(ISBLANK(AF8),ISBLANK(AH8)),"N/A",IF(ABS((AH8-AF8)/AF8)&gt;0.25,"&gt; 25%","ok"))</f>
        <v>ok</v>
      </c>
      <c r="CF8" s="78"/>
      <c r="CG8" s="78" t="str">
        <f>IF(OR(ISBLANK(AH8),ISBLANK(AJ8)),"N/A",IF(ABS((AJ8-AH8)/AH8)&gt;0.25,"&gt; 25%","ok"))</f>
        <v>ok</v>
      </c>
      <c r="CH8" s="78"/>
      <c r="CI8" s="78" t="str">
        <f>IF(OR(ISBLANK(AJ8),ISBLANK(AL8)),"N/A",IF(ABS((AL8-AJ8)/AJ8)&gt;0.25,"&gt; 25%","ok"))</f>
        <v>ok</v>
      </c>
      <c r="CJ8" s="78"/>
      <c r="CK8" s="78" t="str">
        <f>IF(OR(ISBLANK(AL8),ISBLANK(AN8)),"N/A",IF(ABS((AN8-AL8)/AL8)&gt;0.25,"&gt; 25%","ok"))</f>
        <v>ok</v>
      </c>
      <c r="CL8" s="78"/>
      <c r="CM8" s="78" t="str">
        <f>IF(OR(ISBLANK(AN8),ISBLANK(AP8)),"N/A",IF(ABS((AP8-AN8)/AN8)&gt;0.25,"&gt; 25%","ok"))</f>
        <v>ok</v>
      </c>
      <c r="CN8" s="78"/>
      <c r="CO8" s="78" t="str">
        <f>IF(OR(ISBLANK(AP8),ISBLANK(AR8)),"N/A",IF(ABS((AR8-AP8)/AP8)&gt;0.25,"&gt; 25%","ok"))</f>
        <v>N/A</v>
      </c>
      <c r="CP8" s="78"/>
      <c r="CQ8" s="78" t="str">
        <f>IF(OR(ISBLANK(AR8),ISBLANK(AT8)),"N/A",IF(ABS((AT8-AR8)/AR8)&gt;0.25,"&gt; 25%","ok"))</f>
        <v>N/A</v>
      </c>
      <c r="CR8" s="78"/>
      <c r="CS8" s="78" t="str">
        <f>IF(OR(ISBLANK(AT8),ISBLANK(AV8)),"N/A",IF(ABS((AV8-AT8)/AT8)&gt;0.25,"&gt; 25%","ok"))</f>
        <v>N/A</v>
      </c>
      <c r="CT8" s="78"/>
    </row>
    <row r="9" spans="1:100" s="220" customFormat="1" ht="14.85" customHeight="1" x14ac:dyDescent="0.2">
      <c r="A9" s="215"/>
      <c r="B9" s="358">
        <v>25</v>
      </c>
      <c r="C9" s="361">
        <v>2</v>
      </c>
      <c r="D9" s="359" t="s">
        <v>535</v>
      </c>
      <c r="E9" s="244" t="s">
        <v>302</v>
      </c>
      <c r="F9" s="581"/>
      <c r="G9" s="596"/>
      <c r="H9" s="581"/>
      <c r="I9" s="596"/>
      <c r="J9" s="581"/>
      <c r="K9" s="596"/>
      <c r="L9" s="581"/>
      <c r="M9" s="596"/>
      <c r="N9" s="581"/>
      <c r="O9" s="596"/>
      <c r="P9" s="581"/>
      <c r="Q9" s="596"/>
      <c r="R9" s="581">
        <v>3166</v>
      </c>
      <c r="S9" s="596"/>
      <c r="T9" s="581">
        <v>2870</v>
      </c>
      <c r="U9" s="596"/>
      <c r="V9" s="581">
        <v>2907</v>
      </c>
      <c r="W9" s="596"/>
      <c r="X9" s="581">
        <v>3000</v>
      </c>
      <c r="Y9" s="596"/>
      <c r="Z9" s="581">
        <v>4100</v>
      </c>
      <c r="AA9" s="596"/>
      <c r="AB9" s="581">
        <v>4100</v>
      </c>
      <c r="AC9" s="596"/>
      <c r="AD9" s="581">
        <v>4100</v>
      </c>
      <c r="AE9" s="596"/>
      <c r="AF9" s="581">
        <v>4100</v>
      </c>
      <c r="AG9" s="596"/>
      <c r="AH9" s="581">
        <v>4100</v>
      </c>
      <c r="AI9" s="596"/>
      <c r="AJ9" s="581">
        <v>4100</v>
      </c>
      <c r="AK9" s="596"/>
      <c r="AL9" s="581">
        <v>4100</v>
      </c>
      <c r="AM9" s="596"/>
      <c r="AN9" s="581"/>
      <c r="AO9" s="596"/>
      <c r="AP9" s="581"/>
      <c r="AQ9" s="596"/>
      <c r="AR9" s="581"/>
      <c r="AS9" s="596"/>
      <c r="AT9" s="581">
        <v>5000</v>
      </c>
      <c r="AU9" s="596"/>
      <c r="AV9" s="581">
        <v>5000</v>
      </c>
      <c r="AW9" s="596"/>
      <c r="AY9" s="641"/>
      <c r="AZ9" s="80">
        <v>2</v>
      </c>
      <c r="BA9" s="290" t="s">
        <v>482</v>
      </c>
      <c r="BB9" s="80" t="s">
        <v>468</v>
      </c>
      <c r="BC9" s="78" t="s">
        <v>471</v>
      </c>
      <c r="BD9" s="233"/>
      <c r="BE9" s="78" t="str">
        <f>IF(OR(ISBLANK(F9),ISBLANK(H9)),"N/A",IF(ABS((H9-F9)/F9)&gt;1,"&gt; 100%","ok"))</f>
        <v>N/A</v>
      </c>
      <c r="BF9" s="233"/>
      <c r="BG9" s="78" t="str">
        <f>IF(OR(ISBLANK(H9),ISBLANK(J9)),"N/A",IF(ABS((J9-H9)/H9)&gt;0.25,"&gt; 25%","ok"))</f>
        <v>N/A</v>
      </c>
      <c r="BH9" s="78"/>
      <c r="BI9" s="78" t="str">
        <f>IF(OR(ISBLANK(J9),ISBLANK(L9)),"N/A",IF(ABS((L9-J9)/J9)&gt;0.25,"&gt; 25%","ok"))</f>
        <v>N/A</v>
      </c>
      <c r="BJ9" s="78"/>
      <c r="BK9" s="78" t="str">
        <f>IF(OR(ISBLANK(L9),ISBLANK(N9)),"N/A",IF(ABS((N9-L9)/L9)&gt;0.25,"&gt; 25%","ok"))</f>
        <v>N/A</v>
      </c>
      <c r="BL9" s="78"/>
      <c r="BM9" s="78" t="str">
        <f>IF(OR(ISBLANK(N9),ISBLANK(P9)),"N/A",IF(ABS((P9-N9)/N9)&gt;0.25,"&gt; 25%","ok"))</f>
        <v>N/A</v>
      </c>
      <c r="BN9" s="78"/>
      <c r="BO9" s="78" t="str">
        <f>IF(OR(ISBLANK(P9),ISBLANK(R9)),"N/A",IF(ABS((R9-P9)/P9)&gt;0.25,"&gt; 25%","ok"))</f>
        <v>N/A</v>
      </c>
      <c r="BP9" s="78"/>
      <c r="BQ9" s="78" t="str">
        <f>IF(OR(ISBLANK(R9),ISBLANK(T9)),"N/A",IF(ABS((T9-R9)/R9)&gt;0.25,"&gt; 25%","ok"))</f>
        <v>ok</v>
      </c>
      <c r="BR9" s="78"/>
      <c r="BS9" s="78" t="str">
        <f>IF(OR(ISBLANK(T9),ISBLANK(V9)),"N/A",IF(ABS((V9-T9)/T9)&gt;0.25,"&gt; 25%","ok"))</f>
        <v>ok</v>
      </c>
      <c r="BT9" s="78"/>
      <c r="BU9" s="78" t="str">
        <f>IF(OR(ISBLANK(V9),ISBLANK(X9)),"N/A",IF(ABS((X9-V9)/V9)&gt;0.25,"&gt; 25%","ok"))</f>
        <v>ok</v>
      </c>
      <c r="BV9" s="78"/>
      <c r="BW9" s="78" t="str">
        <f>IF(OR(ISBLANK(X9),ISBLANK(Z9)),"N/A",IF(ABS((Z9-X9)/X9)&gt;0.25,"&gt; 25%","ok"))</f>
        <v>&gt; 25%</v>
      </c>
      <c r="BX9" s="78"/>
      <c r="BY9" s="78" t="str">
        <f>IF(OR(ISBLANK(Z9),ISBLANK(AB9)),"N/A",IF(ABS((AB9-Z9)/Z9)&gt;0.25,"&gt; 25%","ok"))</f>
        <v>ok</v>
      </c>
      <c r="BZ9" s="78"/>
      <c r="CA9" s="78" t="str">
        <f>IF(OR(ISBLANK(AB9),ISBLANK(AD9)),"N/A",IF(ABS((AD9-AB9)/AB9)&gt;0.25,"&gt; 25%","ok"))</f>
        <v>ok</v>
      </c>
      <c r="CB9" s="78"/>
      <c r="CC9" s="78" t="str">
        <f>IF(OR(ISBLANK(AD9),ISBLANK(AF9)),"N/A",IF(ABS((AF9-AD9)/AD9)&gt;0.25,"&gt; 25%","ok"))</f>
        <v>ok</v>
      </c>
      <c r="CD9" s="78"/>
      <c r="CE9" s="78" t="str">
        <f>IF(OR(ISBLANK(AF9),ISBLANK(AH9)),"N/A",IF(ABS((AH9-AF9)/AF9)&gt;0.25,"&gt; 25%","ok"))</f>
        <v>ok</v>
      </c>
      <c r="CF9" s="78"/>
      <c r="CG9" s="78" t="str">
        <f>IF(OR(ISBLANK(AH9),ISBLANK(AJ9)),"N/A",IF(ABS((AJ9-AH9)/AH9)&gt;0.25,"&gt; 25%","ok"))</f>
        <v>ok</v>
      </c>
      <c r="CH9" s="78"/>
      <c r="CI9" s="78" t="str">
        <f>IF(OR(ISBLANK(AJ9),ISBLANK(AL9)),"N/A",IF(ABS((AL9-AJ9)/AJ9)&gt;0.25,"&gt; 25%","ok"))</f>
        <v>ok</v>
      </c>
      <c r="CJ9" s="78"/>
      <c r="CK9" s="78" t="str">
        <f>IF(OR(ISBLANK(AL9),ISBLANK(AN9)),"N/A",IF(ABS((AN9-AL9)/AL9)&gt;0.25,"&gt; 25%","ok"))</f>
        <v>N/A</v>
      </c>
      <c r="CL9" s="78"/>
      <c r="CM9" s="78" t="str">
        <f t="shared" ref="CM9:CM28" si="0">IF(OR(ISBLANK(AN9),ISBLANK(AP9)),"N/A",IF(ABS((AP9-AN9)/AN9)&gt;0.25,"&gt; 25%","ok"))</f>
        <v>N/A</v>
      </c>
      <c r="CN9" s="78"/>
      <c r="CO9" s="78" t="str">
        <f>IF(OR(ISBLANK(AP9),ISBLANK(AR9)),"N/A",IF(ABS((AR9-AP9)/AP9)&gt;0.25,"&gt; 25%","ok"))</f>
        <v>N/A</v>
      </c>
      <c r="CP9" s="78"/>
      <c r="CQ9" s="78" t="str">
        <f>IF(OR(ISBLANK(AR9),ISBLANK(AT9)),"N/A",IF(ABS((AT9-AR9)/AR9)&gt;0.25,"&gt; 25%","ok"))</f>
        <v>N/A</v>
      </c>
      <c r="CR9" s="78"/>
      <c r="CS9" s="78" t="str">
        <f t="shared" ref="CS9:CS28" si="1">IF(OR(ISBLANK(AT9),ISBLANK(AV9)),"N/A",IF(ABS((AV9-AT9)/AT9)&gt;0.25,"&gt; 25%","ok"))</f>
        <v>ok</v>
      </c>
      <c r="CT9" s="78"/>
    </row>
    <row r="10" spans="1:100" s="365" customFormat="1" ht="14.85" customHeight="1" x14ac:dyDescent="0.2">
      <c r="A10" s="215" t="s">
        <v>460</v>
      </c>
      <c r="B10" s="362">
        <v>5001</v>
      </c>
      <c r="C10" s="363">
        <v>3</v>
      </c>
      <c r="D10" s="364" t="s">
        <v>547</v>
      </c>
      <c r="E10" s="244" t="s">
        <v>302</v>
      </c>
      <c r="F10" s="577"/>
      <c r="G10" s="592"/>
      <c r="H10" s="577"/>
      <c r="I10" s="592"/>
      <c r="J10" s="577"/>
      <c r="K10" s="592"/>
      <c r="L10" s="577"/>
      <c r="M10" s="592"/>
      <c r="N10" s="577"/>
      <c r="O10" s="592"/>
      <c r="P10" s="577"/>
      <c r="Q10" s="592"/>
      <c r="R10" s="577">
        <v>6103</v>
      </c>
      <c r="S10" s="592" t="s">
        <v>634</v>
      </c>
      <c r="T10" s="577">
        <v>5839</v>
      </c>
      <c r="U10" s="592" t="s">
        <v>634</v>
      </c>
      <c r="V10" s="577">
        <v>6251</v>
      </c>
      <c r="W10" s="592" t="s">
        <v>634</v>
      </c>
      <c r="X10" s="577">
        <v>6555</v>
      </c>
      <c r="Y10" s="592" t="s">
        <v>634</v>
      </c>
      <c r="Z10" s="577">
        <v>8213</v>
      </c>
      <c r="AA10" s="592"/>
      <c r="AB10" s="577">
        <v>7498</v>
      </c>
      <c r="AC10" s="592"/>
      <c r="AD10" s="577">
        <v>8079</v>
      </c>
      <c r="AE10" s="592"/>
      <c r="AF10" s="577">
        <v>7648</v>
      </c>
      <c r="AG10" s="592"/>
      <c r="AH10" s="577">
        <v>7114</v>
      </c>
      <c r="AI10" s="592"/>
      <c r="AJ10" s="577">
        <v>7672</v>
      </c>
      <c r="AK10" s="592"/>
      <c r="AL10" s="577">
        <v>8430</v>
      </c>
      <c r="AM10" s="592"/>
      <c r="AN10" s="577"/>
      <c r="AO10" s="592"/>
      <c r="AP10" s="577"/>
      <c r="AQ10" s="592"/>
      <c r="AR10" s="577"/>
      <c r="AS10" s="592"/>
      <c r="AT10" s="577"/>
      <c r="AU10" s="592"/>
      <c r="AV10" s="577"/>
      <c r="AW10" s="592"/>
      <c r="AY10" s="642"/>
      <c r="AZ10" s="366">
        <v>3</v>
      </c>
      <c r="BA10" s="367" t="s">
        <v>483</v>
      </c>
      <c r="BB10" s="80" t="s">
        <v>468</v>
      </c>
      <c r="BC10" s="103" t="s">
        <v>471</v>
      </c>
      <c r="BD10" s="368"/>
      <c r="BE10" s="78" t="str">
        <f t="shared" ref="BE10:BE26" si="2">IF(OR(ISBLANK(F10),ISBLANK(H10)),"N/A",IF(ABS((H10-F10)/F10)&gt;1,"&gt; 100%","ok"))</f>
        <v>N/A</v>
      </c>
      <c r="BF10" s="233"/>
      <c r="BG10" s="78" t="str">
        <f>IF(OR(ISBLANK(H10),ISBLANK(J10)),"N/A",IF(ABS((J10-H10)/H10)&gt;0.25,"&gt; 25%","ok"))</f>
        <v>N/A</v>
      </c>
      <c r="BH10" s="78"/>
      <c r="BI10" s="78" t="str">
        <f>IF(OR(ISBLANK(J10),ISBLANK(L10)),"N/A",IF(ABS((L10-J10)/J10)&gt;0.25,"&gt; 25%","ok"))</f>
        <v>N/A</v>
      </c>
      <c r="BJ10" s="78"/>
      <c r="BK10" s="78" t="str">
        <f>IF(OR(ISBLANK(L10),ISBLANK(N10)),"N/A",IF(ABS((N10-L10)/L10)&gt;0.25,"&gt; 25%","ok"))</f>
        <v>N/A</v>
      </c>
      <c r="BL10" s="78"/>
      <c r="BM10" s="78" t="str">
        <f>IF(OR(ISBLANK(N10),ISBLANK(P10)),"N/A",IF(ABS((P10-N10)/N10)&gt;0.25,"&gt; 25%","ok"))</f>
        <v>N/A</v>
      </c>
      <c r="BN10" s="78"/>
      <c r="BO10" s="78" t="str">
        <f t="shared" ref="BO10:BO26" si="3">IF(OR(ISBLANK(P10),ISBLANK(R10)),"N/A",IF(ABS((R10-P10)/P10)&gt;0.25,"&gt; 25%","ok"))</f>
        <v>N/A</v>
      </c>
      <c r="BP10" s="78"/>
      <c r="BQ10" s="78" t="str">
        <f t="shared" ref="BQ10:BQ28" si="4">IF(OR(ISBLANK(R10),ISBLANK(T10)),"N/A",IF(ABS((T10-R10)/R10)&gt;0.25,"&gt; 25%","ok"))</f>
        <v>ok</v>
      </c>
      <c r="BR10" s="78"/>
      <c r="BS10" s="78" t="str">
        <f t="shared" ref="BS10:BS28" si="5">IF(OR(ISBLANK(T10),ISBLANK(V10)),"N/A",IF(ABS((V10-T10)/T10)&gt;0.25,"&gt; 25%","ok"))</f>
        <v>ok</v>
      </c>
      <c r="BT10" s="78"/>
      <c r="BU10" s="78" t="str">
        <f t="shared" ref="BU10:BU28" si="6">IF(OR(ISBLANK(V10),ISBLANK(X10)),"N/A",IF(ABS((X10-V10)/V10)&gt;0.25,"&gt; 25%","ok"))</f>
        <v>ok</v>
      </c>
      <c r="BV10" s="78"/>
      <c r="BW10" s="78" t="str">
        <f t="shared" ref="BW10:BW28" si="7">IF(OR(ISBLANK(X10),ISBLANK(Z10)),"N/A",IF(ABS((Z10-X10)/X10)&gt;0.25,"&gt; 25%","ok"))</f>
        <v>&gt; 25%</v>
      </c>
      <c r="BX10" s="78"/>
      <c r="BY10" s="78" t="str">
        <f t="shared" ref="BY10:BY28" si="8">IF(OR(ISBLANK(Z10),ISBLANK(AB10)),"N/A",IF(ABS((AB10-Z10)/Z10)&gt;0.25,"&gt; 25%","ok"))</f>
        <v>ok</v>
      </c>
      <c r="BZ10" s="78"/>
      <c r="CA10" s="78" t="str">
        <f t="shared" ref="CA10:CA28" si="9">IF(OR(ISBLANK(AB10),ISBLANK(AD10)),"N/A",IF(ABS((AD10-AB10)/AB10)&gt;0.25,"&gt; 25%","ok"))</f>
        <v>ok</v>
      </c>
      <c r="CB10" s="78"/>
      <c r="CC10" s="78" t="str">
        <f t="shared" ref="CC10:CC28" si="10">IF(OR(ISBLANK(AD10),ISBLANK(AF10)),"N/A",IF(ABS((AF10-AD10)/AD10)&gt;0.25,"&gt; 25%","ok"))</f>
        <v>ok</v>
      </c>
      <c r="CD10" s="78"/>
      <c r="CE10" s="78" t="str">
        <f t="shared" ref="CE10:CE28" si="11">IF(OR(ISBLANK(AF10),ISBLANK(AH10)),"N/A",IF(ABS((AH10-AF10)/AF10)&gt;0.25,"&gt; 25%","ok"))</f>
        <v>ok</v>
      </c>
      <c r="CF10" s="78"/>
      <c r="CG10" s="78" t="str">
        <f t="shared" ref="CG10:CG28" si="12">IF(OR(ISBLANK(AH10),ISBLANK(AJ10)),"N/A",IF(ABS((AJ10-AH10)/AH10)&gt;0.25,"&gt; 25%","ok"))</f>
        <v>ok</v>
      </c>
      <c r="CH10" s="78"/>
      <c r="CI10" s="78" t="str">
        <f t="shared" ref="CI10:CI28" si="13">IF(OR(ISBLANK(AJ10),ISBLANK(AL10)),"N/A",IF(ABS((AL10-AJ10)/AJ10)&gt;0.25,"&gt; 25%","ok"))</f>
        <v>ok</v>
      </c>
      <c r="CJ10" s="78"/>
      <c r="CK10" s="78" t="str">
        <f t="shared" ref="CK10:CK28" si="14">IF(OR(ISBLANK(AL10),ISBLANK(AN10)),"N/A",IF(ABS((AN10-AL10)/AL10)&gt;0.25,"&gt; 25%","ok"))</f>
        <v>N/A</v>
      </c>
      <c r="CL10" s="78"/>
      <c r="CM10" s="78" t="str">
        <f t="shared" si="0"/>
        <v>N/A</v>
      </c>
      <c r="CN10" s="78"/>
      <c r="CO10" s="78" t="str">
        <f t="shared" ref="CO10:CO28" si="15">IF(OR(ISBLANK(AP10),ISBLANK(AR10)),"N/A",IF(ABS((AR10-AP10)/AP10)&gt;0.25,"&gt; 25%","ok"))</f>
        <v>N/A</v>
      </c>
      <c r="CP10" s="78"/>
      <c r="CQ10" s="78" t="str">
        <f t="shared" ref="CQ10:CQ28" si="16">IF(OR(ISBLANK(AR10),ISBLANK(AT10)),"N/A",IF(ABS((AT10-AR10)/AR10)&gt;0.25,"&gt; 25%","ok"))</f>
        <v>N/A</v>
      </c>
      <c r="CR10" s="78"/>
      <c r="CS10" s="78" t="str">
        <f t="shared" si="1"/>
        <v>N/A</v>
      </c>
      <c r="CT10" s="103"/>
    </row>
    <row r="11" spans="1:100" s="625" customFormat="1" ht="14.85" customHeight="1" x14ac:dyDescent="0.2">
      <c r="A11" s="623"/>
      <c r="B11" s="358">
        <v>5002</v>
      </c>
      <c r="C11" s="242"/>
      <c r="D11" s="607" t="s">
        <v>308</v>
      </c>
      <c r="E11" s="608"/>
      <c r="F11" s="603"/>
      <c r="G11" s="604"/>
      <c r="H11" s="603"/>
      <c r="I11" s="604"/>
      <c r="J11" s="603"/>
      <c r="K11" s="604"/>
      <c r="L11" s="603"/>
      <c r="M11" s="604"/>
      <c r="N11" s="603"/>
      <c r="O11" s="604"/>
      <c r="P11" s="603"/>
      <c r="Q11" s="604"/>
      <c r="R11" s="603"/>
      <c r="S11" s="604"/>
      <c r="T11" s="603"/>
      <c r="U11" s="604"/>
      <c r="V11" s="603"/>
      <c r="W11" s="604"/>
      <c r="X11" s="603"/>
      <c r="Y11" s="604"/>
      <c r="Z11" s="603"/>
      <c r="AA11" s="604"/>
      <c r="AB11" s="603"/>
      <c r="AC11" s="604"/>
      <c r="AD11" s="603"/>
      <c r="AE11" s="604"/>
      <c r="AF11" s="603"/>
      <c r="AG11" s="604"/>
      <c r="AH11" s="603"/>
      <c r="AI11" s="604"/>
      <c r="AJ11" s="603"/>
      <c r="AK11" s="604"/>
      <c r="AL11" s="603"/>
      <c r="AM11" s="604"/>
      <c r="AN11" s="603"/>
      <c r="AO11" s="604"/>
      <c r="AP11" s="603"/>
      <c r="AQ11" s="604"/>
      <c r="AR11" s="603"/>
      <c r="AS11" s="604"/>
      <c r="AT11" s="603"/>
      <c r="AU11" s="604"/>
      <c r="AV11" s="603"/>
      <c r="AW11" s="604"/>
      <c r="AY11" s="626"/>
      <c r="AZ11" s="80"/>
      <c r="BA11" s="370" t="s">
        <v>123</v>
      </c>
      <c r="BB11" s="80"/>
      <c r="BC11" s="78"/>
      <c r="BD11" s="233"/>
      <c r="BE11" s="78"/>
      <c r="BF11" s="233"/>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row>
    <row r="12" spans="1:100" s="625" customFormat="1" ht="14.85" customHeight="1" x14ac:dyDescent="0.2">
      <c r="A12" s="623"/>
      <c r="B12" s="358">
        <v>255</v>
      </c>
      <c r="C12" s="361">
        <v>4</v>
      </c>
      <c r="D12" s="371" t="s">
        <v>326</v>
      </c>
      <c r="E12" s="244" t="s">
        <v>302</v>
      </c>
      <c r="F12" s="581"/>
      <c r="G12" s="596"/>
      <c r="H12" s="581"/>
      <c r="I12" s="596"/>
      <c r="J12" s="581"/>
      <c r="K12" s="596"/>
      <c r="L12" s="581"/>
      <c r="M12" s="596"/>
      <c r="N12" s="581"/>
      <c r="O12" s="596"/>
      <c r="P12" s="581"/>
      <c r="Q12" s="596"/>
      <c r="R12" s="581"/>
      <c r="S12" s="596"/>
      <c r="T12" s="581"/>
      <c r="U12" s="596"/>
      <c r="V12" s="581"/>
      <c r="W12" s="596"/>
      <c r="X12" s="581"/>
      <c r="Y12" s="596"/>
      <c r="Z12" s="581"/>
      <c r="AA12" s="596"/>
      <c r="AB12" s="581"/>
      <c r="AC12" s="596"/>
      <c r="AD12" s="581"/>
      <c r="AE12" s="596"/>
      <c r="AF12" s="581"/>
      <c r="AG12" s="596"/>
      <c r="AH12" s="581"/>
      <c r="AI12" s="596"/>
      <c r="AJ12" s="581"/>
      <c r="AK12" s="596"/>
      <c r="AL12" s="581"/>
      <c r="AM12" s="596"/>
      <c r="AN12" s="581"/>
      <c r="AO12" s="596"/>
      <c r="AP12" s="581"/>
      <c r="AQ12" s="596"/>
      <c r="AR12" s="581"/>
      <c r="AS12" s="596"/>
      <c r="AT12" s="581"/>
      <c r="AU12" s="596"/>
      <c r="AV12" s="581"/>
      <c r="AW12" s="596"/>
      <c r="AY12" s="626"/>
      <c r="AZ12" s="80">
        <v>4</v>
      </c>
      <c r="BA12" s="372" t="s">
        <v>487</v>
      </c>
      <c r="BB12" s="80" t="s">
        <v>468</v>
      </c>
      <c r="BC12" s="78" t="s">
        <v>471</v>
      </c>
      <c r="BD12" s="233"/>
      <c r="BE12" s="78" t="str">
        <f t="shared" si="2"/>
        <v>N/A</v>
      </c>
      <c r="BF12" s="233"/>
      <c r="BG12" s="78" t="str">
        <f t="shared" ref="BG12:BG24" si="17">IF(OR(ISBLANK(H12),ISBLANK(J12)),"N/A",IF(ABS((J12-H12)/H12)&gt;0.25,"&gt; 25%","ok"))</f>
        <v>N/A</v>
      </c>
      <c r="BH12" s="78"/>
      <c r="BI12" s="78" t="str">
        <f t="shared" ref="BI12:BI24" si="18">IF(OR(ISBLANK(J12),ISBLANK(L12)),"N/A",IF(ABS((L12-J12)/J12)&gt;0.25,"&gt; 25%","ok"))</f>
        <v>N/A</v>
      </c>
      <c r="BJ12" s="78"/>
      <c r="BK12" s="78" t="str">
        <f t="shared" ref="BK12:BK24" si="19">IF(OR(ISBLANK(L12),ISBLANK(N12)),"N/A",IF(ABS((N12-L12)/L12)&gt;0.25,"&gt; 25%","ok"))</f>
        <v>N/A</v>
      </c>
      <c r="BL12" s="78"/>
      <c r="BM12" s="78" t="str">
        <f t="shared" ref="BM12:BM24" si="20">IF(OR(ISBLANK(N12),ISBLANK(P12)),"N/A",IF(ABS((P12-N12)/N12)&gt;0.25,"&gt; 25%","ok"))</f>
        <v>N/A</v>
      </c>
      <c r="BN12" s="78"/>
      <c r="BO12" s="78" t="str">
        <f t="shared" si="3"/>
        <v>N/A</v>
      </c>
      <c r="BP12" s="78"/>
      <c r="BQ12" s="78" t="str">
        <f t="shared" si="4"/>
        <v>N/A</v>
      </c>
      <c r="BR12" s="78"/>
      <c r="BS12" s="78" t="str">
        <f t="shared" si="5"/>
        <v>N/A</v>
      </c>
      <c r="BT12" s="78"/>
      <c r="BU12" s="78" t="str">
        <f t="shared" si="6"/>
        <v>N/A</v>
      </c>
      <c r="BV12" s="78"/>
      <c r="BW12" s="78" t="str">
        <f t="shared" si="7"/>
        <v>N/A</v>
      </c>
      <c r="BX12" s="78"/>
      <c r="BY12" s="78" t="str">
        <f t="shared" si="8"/>
        <v>N/A</v>
      </c>
      <c r="BZ12" s="78"/>
      <c r="CA12" s="78" t="str">
        <f t="shared" si="9"/>
        <v>N/A</v>
      </c>
      <c r="CB12" s="78"/>
      <c r="CC12" s="78" t="str">
        <f t="shared" si="10"/>
        <v>N/A</v>
      </c>
      <c r="CD12" s="78"/>
      <c r="CE12" s="78" t="str">
        <f t="shared" si="11"/>
        <v>N/A</v>
      </c>
      <c r="CF12" s="78"/>
      <c r="CG12" s="78" t="str">
        <f t="shared" si="12"/>
        <v>N/A</v>
      </c>
      <c r="CH12" s="78"/>
      <c r="CI12" s="78" t="str">
        <f t="shared" si="13"/>
        <v>N/A</v>
      </c>
      <c r="CJ12" s="78"/>
      <c r="CK12" s="78" t="str">
        <f t="shared" si="14"/>
        <v>N/A</v>
      </c>
      <c r="CL12" s="78"/>
      <c r="CM12" s="78" t="str">
        <f t="shared" si="0"/>
        <v>N/A</v>
      </c>
      <c r="CN12" s="78"/>
      <c r="CO12" s="78" t="str">
        <f t="shared" si="15"/>
        <v>N/A</v>
      </c>
      <c r="CP12" s="78"/>
      <c r="CQ12" s="78" t="str">
        <f t="shared" si="16"/>
        <v>N/A</v>
      </c>
      <c r="CR12" s="78"/>
      <c r="CS12" s="78" t="str">
        <f t="shared" si="1"/>
        <v>N/A</v>
      </c>
      <c r="CT12" s="78"/>
    </row>
    <row r="13" spans="1:100" s="625" customFormat="1" ht="14.85" customHeight="1" x14ac:dyDescent="0.2">
      <c r="A13" s="623"/>
      <c r="B13" s="358">
        <v>256</v>
      </c>
      <c r="C13" s="361">
        <v>5</v>
      </c>
      <c r="D13" s="371" t="s">
        <v>309</v>
      </c>
      <c r="E13" s="244" t="s">
        <v>302</v>
      </c>
      <c r="F13" s="581"/>
      <c r="G13" s="596"/>
      <c r="H13" s="581"/>
      <c r="I13" s="596"/>
      <c r="J13" s="581"/>
      <c r="K13" s="596"/>
      <c r="L13" s="581"/>
      <c r="M13" s="596"/>
      <c r="N13" s="581"/>
      <c r="O13" s="596"/>
      <c r="P13" s="581"/>
      <c r="Q13" s="596"/>
      <c r="R13" s="581"/>
      <c r="S13" s="596"/>
      <c r="T13" s="581"/>
      <c r="U13" s="596"/>
      <c r="V13" s="581"/>
      <c r="W13" s="596"/>
      <c r="X13" s="581"/>
      <c r="Y13" s="596"/>
      <c r="Z13" s="581"/>
      <c r="AA13" s="596"/>
      <c r="AB13" s="581"/>
      <c r="AC13" s="596"/>
      <c r="AD13" s="581"/>
      <c r="AE13" s="596"/>
      <c r="AF13" s="581"/>
      <c r="AG13" s="596"/>
      <c r="AH13" s="581"/>
      <c r="AI13" s="596"/>
      <c r="AJ13" s="581"/>
      <c r="AK13" s="596"/>
      <c r="AL13" s="581"/>
      <c r="AM13" s="596"/>
      <c r="AN13" s="581"/>
      <c r="AO13" s="596"/>
      <c r="AP13" s="581"/>
      <c r="AQ13" s="596"/>
      <c r="AR13" s="581"/>
      <c r="AS13" s="596"/>
      <c r="AT13" s="581"/>
      <c r="AU13" s="596"/>
      <c r="AV13" s="581"/>
      <c r="AW13" s="596"/>
      <c r="AY13" s="626"/>
      <c r="AZ13" s="80">
        <v>5</v>
      </c>
      <c r="BA13" s="372" t="s">
        <v>68</v>
      </c>
      <c r="BB13" s="80" t="s">
        <v>468</v>
      </c>
      <c r="BC13" s="78" t="s">
        <v>471</v>
      </c>
      <c r="BD13" s="233"/>
      <c r="BE13" s="78" t="str">
        <f t="shared" si="2"/>
        <v>N/A</v>
      </c>
      <c r="BF13" s="233"/>
      <c r="BG13" s="78" t="str">
        <f t="shared" si="17"/>
        <v>N/A</v>
      </c>
      <c r="BH13" s="78"/>
      <c r="BI13" s="78" t="str">
        <f t="shared" si="18"/>
        <v>N/A</v>
      </c>
      <c r="BJ13" s="78"/>
      <c r="BK13" s="78" t="str">
        <f t="shared" si="19"/>
        <v>N/A</v>
      </c>
      <c r="BL13" s="78"/>
      <c r="BM13" s="78" t="str">
        <f t="shared" si="20"/>
        <v>N/A</v>
      </c>
      <c r="BN13" s="78"/>
      <c r="BO13" s="78" t="str">
        <f t="shared" si="3"/>
        <v>N/A</v>
      </c>
      <c r="BP13" s="78"/>
      <c r="BQ13" s="78" t="str">
        <f t="shared" si="4"/>
        <v>N/A</v>
      </c>
      <c r="BR13" s="78"/>
      <c r="BS13" s="78" t="str">
        <f t="shared" si="5"/>
        <v>N/A</v>
      </c>
      <c r="BT13" s="78"/>
      <c r="BU13" s="78" t="str">
        <f t="shared" si="6"/>
        <v>N/A</v>
      </c>
      <c r="BV13" s="78"/>
      <c r="BW13" s="78" t="str">
        <f t="shared" si="7"/>
        <v>N/A</v>
      </c>
      <c r="BX13" s="78"/>
      <c r="BY13" s="78" t="str">
        <f t="shared" si="8"/>
        <v>N/A</v>
      </c>
      <c r="BZ13" s="78"/>
      <c r="CA13" s="78" t="str">
        <f t="shared" si="9"/>
        <v>N/A</v>
      </c>
      <c r="CB13" s="78"/>
      <c r="CC13" s="78" t="str">
        <f t="shared" si="10"/>
        <v>N/A</v>
      </c>
      <c r="CD13" s="78"/>
      <c r="CE13" s="78" t="str">
        <f t="shared" si="11"/>
        <v>N/A</v>
      </c>
      <c r="CF13" s="78"/>
      <c r="CG13" s="78" t="str">
        <f t="shared" si="12"/>
        <v>N/A</v>
      </c>
      <c r="CH13" s="78"/>
      <c r="CI13" s="78" t="str">
        <f t="shared" si="13"/>
        <v>N/A</v>
      </c>
      <c r="CJ13" s="78"/>
      <c r="CK13" s="78" t="str">
        <f t="shared" si="14"/>
        <v>N/A</v>
      </c>
      <c r="CL13" s="78"/>
      <c r="CM13" s="78" t="str">
        <f t="shared" si="0"/>
        <v>N/A</v>
      </c>
      <c r="CN13" s="78"/>
      <c r="CO13" s="78" t="str">
        <f t="shared" si="15"/>
        <v>N/A</v>
      </c>
      <c r="CP13" s="78"/>
      <c r="CQ13" s="78" t="str">
        <f t="shared" si="16"/>
        <v>N/A</v>
      </c>
      <c r="CR13" s="78"/>
      <c r="CS13" s="78" t="str">
        <f t="shared" si="1"/>
        <v>N/A</v>
      </c>
      <c r="CT13" s="78"/>
    </row>
    <row r="14" spans="1:100" s="625" customFormat="1" ht="25.5" customHeight="1" x14ac:dyDescent="0.2">
      <c r="A14" s="623"/>
      <c r="B14" s="358">
        <v>257</v>
      </c>
      <c r="C14" s="361">
        <v>6</v>
      </c>
      <c r="D14" s="373" t="s">
        <v>327</v>
      </c>
      <c r="E14" s="244" t="s">
        <v>302</v>
      </c>
      <c r="F14" s="581"/>
      <c r="G14" s="596"/>
      <c r="H14" s="581"/>
      <c r="I14" s="596"/>
      <c r="J14" s="581"/>
      <c r="K14" s="596"/>
      <c r="L14" s="581"/>
      <c r="M14" s="596"/>
      <c r="N14" s="581"/>
      <c r="O14" s="596"/>
      <c r="P14" s="581"/>
      <c r="Q14" s="596"/>
      <c r="R14" s="581"/>
      <c r="S14" s="596"/>
      <c r="T14" s="581"/>
      <c r="U14" s="596"/>
      <c r="V14" s="581"/>
      <c r="W14" s="596"/>
      <c r="X14" s="581"/>
      <c r="Y14" s="596"/>
      <c r="Z14" s="581"/>
      <c r="AA14" s="596"/>
      <c r="AB14" s="581"/>
      <c r="AC14" s="596"/>
      <c r="AD14" s="581"/>
      <c r="AE14" s="596"/>
      <c r="AF14" s="581"/>
      <c r="AG14" s="596"/>
      <c r="AH14" s="581"/>
      <c r="AI14" s="596"/>
      <c r="AJ14" s="581"/>
      <c r="AK14" s="596"/>
      <c r="AL14" s="581"/>
      <c r="AM14" s="596"/>
      <c r="AN14" s="581"/>
      <c r="AO14" s="596"/>
      <c r="AP14" s="581"/>
      <c r="AQ14" s="596"/>
      <c r="AR14" s="581"/>
      <c r="AS14" s="596"/>
      <c r="AT14" s="581"/>
      <c r="AU14" s="596"/>
      <c r="AV14" s="581"/>
      <c r="AW14" s="596"/>
      <c r="AY14" s="626"/>
      <c r="AZ14" s="80">
        <v>6</v>
      </c>
      <c r="BA14" s="372" t="s">
        <v>480</v>
      </c>
      <c r="BB14" s="80" t="s">
        <v>468</v>
      </c>
      <c r="BC14" s="78" t="s">
        <v>471</v>
      </c>
      <c r="BD14" s="233"/>
      <c r="BE14" s="78" t="str">
        <f t="shared" si="2"/>
        <v>N/A</v>
      </c>
      <c r="BF14" s="233"/>
      <c r="BG14" s="78" t="str">
        <f>IF(OR(ISBLANK(H14),ISBLANK(J14)),"N/A",IF(ABS((J14-H14)/H14)&gt;0.25,"&gt; 25%","ok"))</f>
        <v>N/A</v>
      </c>
      <c r="BH14" s="78"/>
      <c r="BI14" s="78" t="str">
        <f t="shared" si="18"/>
        <v>N/A</v>
      </c>
      <c r="BJ14" s="78"/>
      <c r="BK14" s="78" t="str">
        <f t="shared" si="19"/>
        <v>N/A</v>
      </c>
      <c r="BL14" s="78"/>
      <c r="BM14" s="78" t="str">
        <f t="shared" si="20"/>
        <v>N/A</v>
      </c>
      <c r="BN14" s="78"/>
      <c r="BO14" s="78" t="str">
        <f t="shared" si="3"/>
        <v>N/A</v>
      </c>
      <c r="BP14" s="78"/>
      <c r="BQ14" s="78" t="str">
        <f t="shared" si="4"/>
        <v>N/A</v>
      </c>
      <c r="BR14" s="78"/>
      <c r="BS14" s="78" t="str">
        <f t="shared" si="5"/>
        <v>N/A</v>
      </c>
      <c r="BT14" s="78"/>
      <c r="BU14" s="78" t="str">
        <f t="shared" si="6"/>
        <v>N/A</v>
      </c>
      <c r="BV14" s="78"/>
      <c r="BW14" s="78" t="str">
        <f t="shared" si="7"/>
        <v>N/A</v>
      </c>
      <c r="BX14" s="78"/>
      <c r="BY14" s="78" t="str">
        <f t="shared" si="8"/>
        <v>N/A</v>
      </c>
      <c r="BZ14" s="78"/>
      <c r="CA14" s="78" t="str">
        <f t="shared" si="9"/>
        <v>N/A</v>
      </c>
      <c r="CB14" s="78"/>
      <c r="CC14" s="78" t="str">
        <f t="shared" si="10"/>
        <v>N/A</v>
      </c>
      <c r="CD14" s="78"/>
      <c r="CE14" s="78" t="str">
        <f t="shared" si="11"/>
        <v>N/A</v>
      </c>
      <c r="CF14" s="78"/>
      <c r="CG14" s="78" t="str">
        <f t="shared" si="12"/>
        <v>N/A</v>
      </c>
      <c r="CH14" s="78"/>
      <c r="CI14" s="78" t="str">
        <f t="shared" si="13"/>
        <v>N/A</v>
      </c>
      <c r="CJ14" s="78"/>
      <c r="CK14" s="78" t="str">
        <f t="shared" si="14"/>
        <v>N/A</v>
      </c>
      <c r="CL14" s="78"/>
      <c r="CM14" s="78" t="str">
        <f t="shared" si="0"/>
        <v>N/A</v>
      </c>
      <c r="CN14" s="78"/>
      <c r="CO14" s="78" t="str">
        <f t="shared" si="15"/>
        <v>N/A</v>
      </c>
      <c r="CP14" s="78"/>
      <c r="CQ14" s="78" t="str">
        <f t="shared" si="16"/>
        <v>N/A</v>
      </c>
      <c r="CR14" s="78"/>
      <c r="CS14" s="78" t="str">
        <f t="shared" si="1"/>
        <v>N/A</v>
      </c>
      <c r="CT14" s="78"/>
    </row>
    <row r="15" spans="1:100" s="625" customFormat="1" ht="14.85" customHeight="1" x14ac:dyDescent="0.2">
      <c r="A15" s="623"/>
      <c r="B15" s="358">
        <v>258</v>
      </c>
      <c r="C15" s="361">
        <v>7</v>
      </c>
      <c r="D15" s="371" t="s">
        <v>348</v>
      </c>
      <c r="E15" s="244" t="s">
        <v>302</v>
      </c>
      <c r="F15" s="581"/>
      <c r="G15" s="596"/>
      <c r="H15" s="581"/>
      <c r="I15" s="596"/>
      <c r="J15" s="581"/>
      <c r="K15" s="596"/>
      <c r="L15" s="581"/>
      <c r="M15" s="596"/>
      <c r="N15" s="581"/>
      <c r="O15" s="596"/>
      <c r="P15" s="581"/>
      <c r="Q15" s="596"/>
      <c r="R15" s="581"/>
      <c r="S15" s="596"/>
      <c r="T15" s="581"/>
      <c r="U15" s="596"/>
      <c r="V15" s="581"/>
      <c r="W15" s="596"/>
      <c r="X15" s="581"/>
      <c r="Y15" s="596"/>
      <c r="Z15" s="581"/>
      <c r="AA15" s="596"/>
      <c r="AB15" s="581"/>
      <c r="AC15" s="596"/>
      <c r="AD15" s="581"/>
      <c r="AE15" s="596"/>
      <c r="AF15" s="581"/>
      <c r="AG15" s="596"/>
      <c r="AH15" s="581"/>
      <c r="AI15" s="596"/>
      <c r="AJ15" s="581"/>
      <c r="AK15" s="596"/>
      <c r="AL15" s="581"/>
      <c r="AM15" s="596"/>
      <c r="AN15" s="581"/>
      <c r="AO15" s="596"/>
      <c r="AP15" s="581"/>
      <c r="AQ15" s="596"/>
      <c r="AR15" s="581"/>
      <c r="AS15" s="596"/>
      <c r="AT15" s="581"/>
      <c r="AU15" s="596"/>
      <c r="AV15" s="581"/>
      <c r="AW15" s="596"/>
      <c r="AY15" s="626"/>
      <c r="AZ15" s="80">
        <v>7</v>
      </c>
      <c r="BA15" s="372" t="s">
        <v>401</v>
      </c>
      <c r="BB15" s="80" t="s">
        <v>468</v>
      </c>
      <c r="BC15" s="78" t="s">
        <v>471</v>
      </c>
      <c r="BD15" s="233"/>
      <c r="BE15" s="78" t="str">
        <f t="shared" si="2"/>
        <v>N/A</v>
      </c>
      <c r="BF15" s="233"/>
      <c r="BG15" s="78" t="str">
        <f t="shared" si="17"/>
        <v>N/A</v>
      </c>
      <c r="BH15" s="78"/>
      <c r="BI15" s="78" t="str">
        <f t="shared" si="18"/>
        <v>N/A</v>
      </c>
      <c r="BJ15" s="78"/>
      <c r="BK15" s="78" t="str">
        <f t="shared" si="19"/>
        <v>N/A</v>
      </c>
      <c r="BL15" s="78"/>
      <c r="BM15" s="78" t="str">
        <f t="shared" si="20"/>
        <v>N/A</v>
      </c>
      <c r="BN15" s="78"/>
      <c r="BO15" s="78" t="str">
        <f t="shared" si="3"/>
        <v>N/A</v>
      </c>
      <c r="BP15" s="78"/>
      <c r="BQ15" s="78" t="str">
        <f t="shared" si="4"/>
        <v>N/A</v>
      </c>
      <c r="BR15" s="78"/>
      <c r="BS15" s="78" t="str">
        <f t="shared" si="5"/>
        <v>N/A</v>
      </c>
      <c r="BT15" s="78"/>
      <c r="BU15" s="78" t="str">
        <f t="shared" si="6"/>
        <v>N/A</v>
      </c>
      <c r="BV15" s="78"/>
      <c r="BW15" s="78" t="str">
        <f t="shared" si="7"/>
        <v>N/A</v>
      </c>
      <c r="BX15" s="78"/>
      <c r="BY15" s="78" t="str">
        <f t="shared" si="8"/>
        <v>N/A</v>
      </c>
      <c r="BZ15" s="78"/>
      <c r="CA15" s="78" t="str">
        <f t="shared" si="9"/>
        <v>N/A</v>
      </c>
      <c r="CB15" s="78"/>
      <c r="CC15" s="78" t="str">
        <f t="shared" si="10"/>
        <v>N/A</v>
      </c>
      <c r="CD15" s="78"/>
      <c r="CE15" s="78" t="str">
        <f t="shared" si="11"/>
        <v>N/A</v>
      </c>
      <c r="CF15" s="78"/>
      <c r="CG15" s="78" t="str">
        <f t="shared" si="12"/>
        <v>N/A</v>
      </c>
      <c r="CH15" s="78"/>
      <c r="CI15" s="78" t="str">
        <f t="shared" si="13"/>
        <v>N/A</v>
      </c>
      <c r="CJ15" s="78"/>
      <c r="CK15" s="78" t="str">
        <f t="shared" si="14"/>
        <v>N/A</v>
      </c>
      <c r="CL15" s="78"/>
      <c r="CM15" s="78" t="str">
        <f t="shared" si="0"/>
        <v>N/A</v>
      </c>
      <c r="CN15" s="78"/>
      <c r="CO15" s="78" t="str">
        <f t="shared" si="15"/>
        <v>N/A</v>
      </c>
      <c r="CP15" s="78"/>
      <c r="CQ15" s="78" t="str">
        <f t="shared" si="16"/>
        <v>N/A</v>
      </c>
      <c r="CR15" s="78"/>
      <c r="CS15" s="78" t="str">
        <f t="shared" si="1"/>
        <v>N/A</v>
      </c>
      <c r="CT15" s="78"/>
    </row>
    <row r="16" spans="1:100" s="625" customFormat="1" ht="14.85" customHeight="1" x14ac:dyDescent="0.2">
      <c r="A16" s="623"/>
      <c r="B16" s="358">
        <v>259</v>
      </c>
      <c r="C16" s="361">
        <v>8</v>
      </c>
      <c r="D16" s="373" t="s">
        <v>328</v>
      </c>
      <c r="E16" s="244" t="s">
        <v>302</v>
      </c>
      <c r="F16" s="581"/>
      <c r="G16" s="596"/>
      <c r="H16" s="581"/>
      <c r="I16" s="596"/>
      <c r="J16" s="581"/>
      <c r="K16" s="596"/>
      <c r="L16" s="581"/>
      <c r="M16" s="596"/>
      <c r="N16" s="581"/>
      <c r="O16" s="596"/>
      <c r="P16" s="581"/>
      <c r="Q16" s="596"/>
      <c r="R16" s="581"/>
      <c r="S16" s="596"/>
      <c r="T16" s="581"/>
      <c r="U16" s="596"/>
      <c r="V16" s="581"/>
      <c r="W16" s="596"/>
      <c r="X16" s="581"/>
      <c r="Y16" s="596"/>
      <c r="Z16" s="581"/>
      <c r="AA16" s="596"/>
      <c r="AB16" s="581"/>
      <c r="AC16" s="596"/>
      <c r="AD16" s="581"/>
      <c r="AE16" s="596"/>
      <c r="AF16" s="581"/>
      <c r="AG16" s="596"/>
      <c r="AH16" s="581"/>
      <c r="AI16" s="596"/>
      <c r="AJ16" s="581"/>
      <c r="AK16" s="596"/>
      <c r="AL16" s="581"/>
      <c r="AM16" s="596"/>
      <c r="AN16" s="581"/>
      <c r="AO16" s="596"/>
      <c r="AP16" s="581"/>
      <c r="AQ16" s="596"/>
      <c r="AR16" s="581"/>
      <c r="AS16" s="596"/>
      <c r="AT16" s="581"/>
      <c r="AU16" s="596"/>
      <c r="AV16" s="581"/>
      <c r="AW16" s="596"/>
      <c r="AY16" s="626"/>
      <c r="AZ16" s="80">
        <v>8</v>
      </c>
      <c r="BA16" s="374" t="s">
        <v>493</v>
      </c>
      <c r="BB16" s="80" t="s">
        <v>468</v>
      </c>
      <c r="BC16" s="78" t="s">
        <v>471</v>
      </c>
      <c r="BD16" s="233"/>
      <c r="BE16" s="78" t="str">
        <f t="shared" si="2"/>
        <v>N/A</v>
      </c>
      <c r="BF16" s="233"/>
      <c r="BG16" s="78" t="str">
        <f t="shared" si="17"/>
        <v>N/A</v>
      </c>
      <c r="BH16" s="78"/>
      <c r="BI16" s="78" t="str">
        <f t="shared" si="18"/>
        <v>N/A</v>
      </c>
      <c r="BJ16" s="78"/>
      <c r="BK16" s="78" t="str">
        <f t="shared" si="19"/>
        <v>N/A</v>
      </c>
      <c r="BL16" s="78"/>
      <c r="BM16" s="78" t="str">
        <f t="shared" si="20"/>
        <v>N/A</v>
      </c>
      <c r="BN16" s="78"/>
      <c r="BO16" s="78" t="str">
        <f t="shared" si="3"/>
        <v>N/A</v>
      </c>
      <c r="BP16" s="78"/>
      <c r="BQ16" s="78" t="str">
        <f t="shared" si="4"/>
        <v>N/A</v>
      </c>
      <c r="BR16" s="78"/>
      <c r="BS16" s="78" t="str">
        <f t="shared" si="5"/>
        <v>N/A</v>
      </c>
      <c r="BT16" s="78"/>
      <c r="BU16" s="78" t="str">
        <f t="shared" si="6"/>
        <v>N/A</v>
      </c>
      <c r="BV16" s="78"/>
      <c r="BW16" s="78" t="str">
        <f t="shared" si="7"/>
        <v>N/A</v>
      </c>
      <c r="BX16" s="78"/>
      <c r="BY16" s="78" t="str">
        <f t="shared" si="8"/>
        <v>N/A</v>
      </c>
      <c r="BZ16" s="78"/>
      <c r="CA16" s="78" t="str">
        <f t="shared" si="9"/>
        <v>N/A</v>
      </c>
      <c r="CB16" s="78"/>
      <c r="CC16" s="78" t="str">
        <f t="shared" si="10"/>
        <v>N/A</v>
      </c>
      <c r="CD16" s="78"/>
      <c r="CE16" s="78" t="str">
        <f t="shared" si="11"/>
        <v>N/A</v>
      </c>
      <c r="CF16" s="78"/>
      <c r="CG16" s="78" t="str">
        <f t="shared" si="12"/>
        <v>N/A</v>
      </c>
      <c r="CH16" s="78"/>
      <c r="CI16" s="78" t="str">
        <f t="shared" si="13"/>
        <v>N/A</v>
      </c>
      <c r="CJ16" s="78"/>
      <c r="CK16" s="78" t="str">
        <f t="shared" si="14"/>
        <v>N/A</v>
      </c>
      <c r="CL16" s="78"/>
      <c r="CM16" s="78" t="str">
        <f t="shared" si="0"/>
        <v>N/A</v>
      </c>
      <c r="CN16" s="78"/>
      <c r="CO16" s="78" t="str">
        <f t="shared" si="15"/>
        <v>N/A</v>
      </c>
      <c r="CP16" s="78"/>
      <c r="CQ16" s="78" t="str">
        <f t="shared" si="16"/>
        <v>N/A</v>
      </c>
      <c r="CR16" s="78"/>
      <c r="CS16" s="78" t="str">
        <f t="shared" si="1"/>
        <v>N/A</v>
      </c>
      <c r="CT16" s="78"/>
    </row>
    <row r="17" spans="1:98" s="625" customFormat="1" ht="14.85" customHeight="1" x14ac:dyDescent="0.2">
      <c r="A17" s="623"/>
      <c r="B17" s="358">
        <v>260</v>
      </c>
      <c r="C17" s="361">
        <v>9</v>
      </c>
      <c r="D17" s="371" t="s">
        <v>310</v>
      </c>
      <c r="E17" s="244" t="s">
        <v>302</v>
      </c>
      <c r="F17" s="581"/>
      <c r="G17" s="596"/>
      <c r="H17" s="581"/>
      <c r="I17" s="596"/>
      <c r="J17" s="581"/>
      <c r="K17" s="596"/>
      <c r="L17" s="581"/>
      <c r="M17" s="596"/>
      <c r="N17" s="581"/>
      <c r="O17" s="596"/>
      <c r="P17" s="581"/>
      <c r="Q17" s="596"/>
      <c r="R17" s="581"/>
      <c r="S17" s="596"/>
      <c r="T17" s="581"/>
      <c r="U17" s="596"/>
      <c r="V17" s="581"/>
      <c r="W17" s="596"/>
      <c r="X17" s="581"/>
      <c r="Y17" s="596"/>
      <c r="Z17" s="581"/>
      <c r="AA17" s="596"/>
      <c r="AB17" s="581"/>
      <c r="AC17" s="596"/>
      <c r="AD17" s="581"/>
      <c r="AE17" s="596"/>
      <c r="AF17" s="581"/>
      <c r="AG17" s="596"/>
      <c r="AH17" s="581"/>
      <c r="AI17" s="596"/>
      <c r="AJ17" s="581"/>
      <c r="AK17" s="596"/>
      <c r="AL17" s="581"/>
      <c r="AM17" s="596"/>
      <c r="AN17" s="581"/>
      <c r="AO17" s="596"/>
      <c r="AP17" s="581"/>
      <c r="AQ17" s="596"/>
      <c r="AR17" s="581"/>
      <c r="AS17" s="596"/>
      <c r="AT17" s="581"/>
      <c r="AU17" s="596"/>
      <c r="AV17" s="581"/>
      <c r="AW17" s="596"/>
      <c r="AY17" s="626"/>
      <c r="AZ17" s="80">
        <v>9</v>
      </c>
      <c r="BA17" s="372" t="s">
        <v>5</v>
      </c>
      <c r="BB17" s="80" t="s">
        <v>468</v>
      </c>
      <c r="BC17" s="103" t="s">
        <v>471</v>
      </c>
      <c r="BD17" s="233"/>
      <c r="BE17" s="78" t="str">
        <f t="shared" si="2"/>
        <v>N/A</v>
      </c>
      <c r="BF17" s="233"/>
      <c r="BG17" s="78" t="str">
        <f t="shared" si="17"/>
        <v>N/A</v>
      </c>
      <c r="BH17" s="78"/>
      <c r="BI17" s="78" t="str">
        <f t="shared" si="18"/>
        <v>N/A</v>
      </c>
      <c r="BJ17" s="78"/>
      <c r="BK17" s="78" t="str">
        <f t="shared" si="19"/>
        <v>N/A</v>
      </c>
      <c r="BL17" s="78"/>
      <c r="BM17" s="78" t="str">
        <f t="shared" si="20"/>
        <v>N/A</v>
      </c>
      <c r="BN17" s="78"/>
      <c r="BO17" s="78" t="str">
        <f t="shared" si="3"/>
        <v>N/A</v>
      </c>
      <c r="BP17" s="78"/>
      <c r="BQ17" s="78" t="str">
        <f t="shared" si="4"/>
        <v>N/A</v>
      </c>
      <c r="BR17" s="78"/>
      <c r="BS17" s="78" t="str">
        <f t="shared" si="5"/>
        <v>N/A</v>
      </c>
      <c r="BT17" s="78"/>
      <c r="BU17" s="78" t="str">
        <f t="shared" si="6"/>
        <v>N/A</v>
      </c>
      <c r="BV17" s="78"/>
      <c r="BW17" s="78" t="str">
        <f t="shared" si="7"/>
        <v>N/A</v>
      </c>
      <c r="BX17" s="78"/>
      <c r="BY17" s="78" t="str">
        <f t="shared" si="8"/>
        <v>N/A</v>
      </c>
      <c r="BZ17" s="78"/>
      <c r="CA17" s="78" t="str">
        <f t="shared" si="9"/>
        <v>N/A</v>
      </c>
      <c r="CB17" s="78"/>
      <c r="CC17" s="78" t="str">
        <f t="shared" si="10"/>
        <v>N/A</v>
      </c>
      <c r="CD17" s="78"/>
      <c r="CE17" s="78" t="str">
        <f t="shared" si="11"/>
        <v>N/A</v>
      </c>
      <c r="CF17" s="78"/>
      <c r="CG17" s="78" t="str">
        <f t="shared" si="12"/>
        <v>N/A</v>
      </c>
      <c r="CH17" s="78"/>
      <c r="CI17" s="78" t="str">
        <f t="shared" si="13"/>
        <v>N/A</v>
      </c>
      <c r="CJ17" s="78"/>
      <c r="CK17" s="78" t="str">
        <f t="shared" si="14"/>
        <v>N/A</v>
      </c>
      <c r="CL17" s="78"/>
      <c r="CM17" s="78" t="str">
        <f t="shared" si="0"/>
        <v>N/A</v>
      </c>
      <c r="CN17" s="78"/>
      <c r="CO17" s="78" t="str">
        <f t="shared" si="15"/>
        <v>N/A</v>
      </c>
      <c r="CP17" s="78"/>
      <c r="CQ17" s="78" t="str">
        <f t="shared" si="16"/>
        <v>N/A</v>
      </c>
      <c r="CR17" s="78"/>
      <c r="CS17" s="78" t="str">
        <f t="shared" si="1"/>
        <v>N/A</v>
      </c>
      <c r="CT17" s="78"/>
    </row>
    <row r="18" spans="1:98" s="625" customFormat="1" ht="14.85" customHeight="1" x14ac:dyDescent="0.2">
      <c r="A18" s="623"/>
      <c r="B18" s="358">
        <v>69</v>
      </c>
      <c r="C18" s="242">
        <v>10</v>
      </c>
      <c r="D18" s="359" t="s">
        <v>244</v>
      </c>
      <c r="E18" s="244" t="s">
        <v>302</v>
      </c>
      <c r="F18" s="581"/>
      <c r="G18" s="596"/>
      <c r="H18" s="581"/>
      <c r="I18" s="596"/>
      <c r="J18" s="581"/>
      <c r="K18" s="596"/>
      <c r="L18" s="581"/>
      <c r="M18" s="596"/>
      <c r="N18" s="581"/>
      <c r="O18" s="596"/>
      <c r="P18" s="581"/>
      <c r="Q18" s="596"/>
      <c r="R18" s="581">
        <v>3</v>
      </c>
      <c r="S18" s="596"/>
      <c r="T18" s="581">
        <v>3</v>
      </c>
      <c r="U18" s="596"/>
      <c r="V18" s="581">
        <v>3</v>
      </c>
      <c r="W18" s="596"/>
      <c r="X18" s="581">
        <v>3</v>
      </c>
      <c r="Y18" s="596"/>
      <c r="Z18" s="581">
        <v>3</v>
      </c>
      <c r="AA18" s="596"/>
      <c r="AB18" s="581">
        <v>4</v>
      </c>
      <c r="AC18" s="596"/>
      <c r="AD18" s="581">
        <v>4</v>
      </c>
      <c r="AE18" s="596"/>
      <c r="AF18" s="581">
        <v>4</v>
      </c>
      <c r="AG18" s="596"/>
      <c r="AH18" s="581">
        <v>7</v>
      </c>
      <c r="AI18" s="596"/>
      <c r="AJ18" s="581">
        <v>7</v>
      </c>
      <c r="AK18" s="596"/>
      <c r="AL18" s="581">
        <v>6</v>
      </c>
      <c r="AM18" s="596"/>
      <c r="AN18" s="581">
        <v>8</v>
      </c>
      <c r="AO18" s="596"/>
      <c r="AP18" s="581">
        <v>8</v>
      </c>
      <c r="AQ18" s="596"/>
      <c r="AR18" s="581">
        <v>7</v>
      </c>
      <c r="AS18" s="596"/>
      <c r="AT18" s="581">
        <v>8</v>
      </c>
      <c r="AU18" s="596"/>
      <c r="AV18" s="581">
        <v>8</v>
      </c>
      <c r="AW18" s="596"/>
      <c r="AY18" s="626"/>
      <c r="AZ18" s="80">
        <v>10</v>
      </c>
      <c r="BA18" s="290" t="s">
        <v>599</v>
      </c>
      <c r="BB18" s="80" t="s">
        <v>468</v>
      </c>
      <c r="BC18" s="78" t="s">
        <v>471</v>
      </c>
      <c r="BD18" s="233"/>
      <c r="BE18" s="78" t="str">
        <f t="shared" si="2"/>
        <v>N/A</v>
      </c>
      <c r="BF18" s="233"/>
      <c r="BG18" s="78" t="str">
        <f t="shared" si="17"/>
        <v>N/A</v>
      </c>
      <c r="BH18" s="78"/>
      <c r="BI18" s="78" t="str">
        <f t="shared" si="18"/>
        <v>N/A</v>
      </c>
      <c r="BJ18" s="78"/>
      <c r="BK18" s="78" t="str">
        <f>IF(OR(ISBLANK(L18),ISBLANK(N18)),"N/A",IF(ABS((N18-L18)/L18)&gt;0.25,"&gt; 25%","ok"))</f>
        <v>N/A</v>
      </c>
      <c r="BL18" s="78"/>
      <c r="BM18" s="78" t="str">
        <f t="shared" si="20"/>
        <v>N/A</v>
      </c>
      <c r="BN18" s="78"/>
      <c r="BO18" s="78" t="str">
        <f t="shared" si="3"/>
        <v>N/A</v>
      </c>
      <c r="BP18" s="78"/>
      <c r="BQ18" s="78" t="str">
        <f t="shared" si="4"/>
        <v>ok</v>
      </c>
      <c r="BR18" s="78"/>
      <c r="BS18" s="78" t="str">
        <f t="shared" si="5"/>
        <v>ok</v>
      </c>
      <c r="BT18" s="78"/>
      <c r="BU18" s="78" t="str">
        <f t="shared" si="6"/>
        <v>ok</v>
      </c>
      <c r="BV18" s="78"/>
      <c r="BW18" s="78" t="str">
        <f t="shared" si="7"/>
        <v>ok</v>
      </c>
      <c r="BX18" s="78"/>
      <c r="BY18" s="78" t="str">
        <f t="shared" si="8"/>
        <v>&gt; 25%</v>
      </c>
      <c r="BZ18" s="78"/>
      <c r="CA18" s="78" t="str">
        <f t="shared" si="9"/>
        <v>ok</v>
      </c>
      <c r="CB18" s="78"/>
      <c r="CC18" s="78" t="str">
        <f t="shared" si="10"/>
        <v>ok</v>
      </c>
      <c r="CD18" s="78"/>
      <c r="CE18" s="78" t="str">
        <f t="shared" si="11"/>
        <v>&gt; 25%</v>
      </c>
      <c r="CF18" s="78"/>
      <c r="CG18" s="78" t="str">
        <f t="shared" si="12"/>
        <v>ok</v>
      </c>
      <c r="CH18" s="78"/>
      <c r="CI18" s="78" t="str">
        <f t="shared" si="13"/>
        <v>ok</v>
      </c>
      <c r="CJ18" s="78"/>
      <c r="CK18" s="78" t="str">
        <f t="shared" si="14"/>
        <v>&gt; 25%</v>
      </c>
      <c r="CL18" s="78"/>
      <c r="CM18" s="78" t="str">
        <f t="shared" si="0"/>
        <v>ok</v>
      </c>
      <c r="CN18" s="78"/>
      <c r="CO18" s="78" t="str">
        <f t="shared" si="15"/>
        <v>ok</v>
      </c>
      <c r="CP18" s="78"/>
      <c r="CQ18" s="78" t="str">
        <f t="shared" si="16"/>
        <v>ok</v>
      </c>
      <c r="CR18" s="78"/>
      <c r="CS18" s="78" t="str">
        <f t="shared" si="1"/>
        <v>ok</v>
      </c>
      <c r="CT18" s="78"/>
    </row>
    <row r="19" spans="1:98" s="625" customFormat="1" ht="14.85" customHeight="1" x14ac:dyDescent="0.2">
      <c r="A19" s="623"/>
      <c r="B19" s="358">
        <v>78</v>
      </c>
      <c r="C19" s="242">
        <v>11</v>
      </c>
      <c r="D19" s="359" t="s">
        <v>246</v>
      </c>
      <c r="E19" s="244" t="s">
        <v>302</v>
      </c>
      <c r="F19" s="581"/>
      <c r="G19" s="596"/>
      <c r="H19" s="581"/>
      <c r="I19" s="596"/>
      <c r="J19" s="581"/>
      <c r="K19" s="596"/>
      <c r="L19" s="581"/>
      <c r="M19" s="596"/>
      <c r="N19" s="581"/>
      <c r="O19" s="596"/>
      <c r="P19" s="581"/>
      <c r="Q19" s="596"/>
      <c r="R19" s="581"/>
      <c r="S19" s="596"/>
      <c r="T19" s="581"/>
      <c r="U19" s="596"/>
      <c r="V19" s="581"/>
      <c r="W19" s="596"/>
      <c r="X19" s="581"/>
      <c r="Y19" s="596"/>
      <c r="Z19" s="581"/>
      <c r="AA19" s="596"/>
      <c r="AB19" s="581"/>
      <c r="AC19" s="596"/>
      <c r="AD19" s="581"/>
      <c r="AE19" s="596"/>
      <c r="AF19" s="581"/>
      <c r="AG19" s="596"/>
      <c r="AH19" s="581"/>
      <c r="AI19" s="596"/>
      <c r="AJ19" s="581"/>
      <c r="AK19" s="596"/>
      <c r="AL19" s="581"/>
      <c r="AM19" s="596"/>
      <c r="AN19" s="581"/>
      <c r="AO19" s="596"/>
      <c r="AP19" s="581"/>
      <c r="AQ19" s="596"/>
      <c r="AR19" s="581"/>
      <c r="AS19" s="596"/>
      <c r="AT19" s="581"/>
      <c r="AU19" s="596"/>
      <c r="AV19" s="581"/>
      <c r="AW19" s="596"/>
      <c r="AY19" s="626"/>
      <c r="AZ19" s="80">
        <v>11</v>
      </c>
      <c r="BA19" s="290" t="s">
        <v>405</v>
      </c>
      <c r="BB19" s="80" t="s">
        <v>468</v>
      </c>
      <c r="BC19" s="78" t="s">
        <v>471</v>
      </c>
      <c r="BD19" s="233"/>
      <c r="BE19" s="78" t="str">
        <f t="shared" si="2"/>
        <v>N/A</v>
      </c>
      <c r="BF19" s="233"/>
      <c r="BG19" s="78" t="str">
        <f t="shared" si="17"/>
        <v>N/A</v>
      </c>
      <c r="BH19" s="78"/>
      <c r="BI19" s="78" t="str">
        <f t="shared" si="18"/>
        <v>N/A</v>
      </c>
      <c r="BJ19" s="78"/>
      <c r="BK19" s="78" t="str">
        <f t="shared" si="19"/>
        <v>N/A</v>
      </c>
      <c r="BL19" s="78"/>
      <c r="BM19" s="78" t="str">
        <f t="shared" si="20"/>
        <v>N/A</v>
      </c>
      <c r="BN19" s="78"/>
      <c r="BO19" s="78" t="str">
        <f t="shared" si="3"/>
        <v>N/A</v>
      </c>
      <c r="BP19" s="78"/>
      <c r="BQ19" s="78" t="str">
        <f t="shared" si="4"/>
        <v>N/A</v>
      </c>
      <c r="BR19" s="78"/>
      <c r="BS19" s="78" t="str">
        <f t="shared" si="5"/>
        <v>N/A</v>
      </c>
      <c r="BT19" s="78"/>
      <c r="BU19" s="78" t="str">
        <f t="shared" si="6"/>
        <v>N/A</v>
      </c>
      <c r="BV19" s="78"/>
      <c r="BW19" s="78" t="str">
        <f t="shared" si="7"/>
        <v>N/A</v>
      </c>
      <c r="BX19" s="78"/>
      <c r="BY19" s="78" t="str">
        <f t="shared" si="8"/>
        <v>N/A</v>
      </c>
      <c r="BZ19" s="78"/>
      <c r="CA19" s="78" t="str">
        <f t="shared" si="9"/>
        <v>N/A</v>
      </c>
      <c r="CB19" s="78"/>
      <c r="CC19" s="78" t="str">
        <f t="shared" si="10"/>
        <v>N/A</v>
      </c>
      <c r="CD19" s="78"/>
      <c r="CE19" s="78" t="str">
        <f t="shared" si="11"/>
        <v>N/A</v>
      </c>
      <c r="CF19" s="78"/>
      <c r="CG19" s="78" t="str">
        <f t="shared" si="12"/>
        <v>N/A</v>
      </c>
      <c r="CH19" s="78"/>
      <c r="CI19" s="78" t="str">
        <f t="shared" si="13"/>
        <v>N/A</v>
      </c>
      <c r="CJ19" s="78"/>
      <c r="CK19" s="78" t="str">
        <f t="shared" si="14"/>
        <v>N/A</v>
      </c>
      <c r="CL19" s="78"/>
      <c r="CM19" s="78" t="str">
        <f t="shared" si="0"/>
        <v>N/A</v>
      </c>
      <c r="CN19" s="78"/>
      <c r="CO19" s="78" t="str">
        <f t="shared" si="15"/>
        <v>N/A</v>
      </c>
      <c r="CP19" s="78"/>
      <c r="CQ19" s="78" t="str">
        <f t="shared" si="16"/>
        <v>N/A</v>
      </c>
      <c r="CR19" s="78"/>
      <c r="CS19" s="78" t="str">
        <f t="shared" si="1"/>
        <v>N/A</v>
      </c>
      <c r="CT19" s="78"/>
    </row>
    <row r="20" spans="1:98" s="625" customFormat="1" ht="14.85" customHeight="1" x14ac:dyDescent="0.2">
      <c r="A20" s="623"/>
      <c r="B20" s="358">
        <v>2434</v>
      </c>
      <c r="C20" s="242">
        <v>12</v>
      </c>
      <c r="D20" s="359" t="s">
        <v>511</v>
      </c>
      <c r="E20" s="244" t="s">
        <v>302</v>
      </c>
      <c r="F20" s="581"/>
      <c r="G20" s="596"/>
      <c r="H20" s="581"/>
      <c r="I20" s="596"/>
      <c r="J20" s="581"/>
      <c r="K20" s="596"/>
      <c r="L20" s="581"/>
      <c r="M20" s="596"/>
      <c r="N20" s="581"/>
      <c r="O20" s="596"/>
      <c r="P20" s="581"/>
      <c r="Q20" s="596"/>
      <c r="R20" s="581"/>
      <c r="S20" s="596"/>
      <c r="T20" s="581"/>
      <c r="U20" s="596"/>
      <c r="V20" s="581"/>
      <c r="W20" s="596"/>
      <c r="X20" s="581"/>
      <c r="Y20" s="596"/>
      <c r="Z20" s="581"/>
      <c r="AA20" s="596"/>
      <c r="AB20" s="581"/>
      <c r="AC20" s="596"/>
      <c r="AD20" s="581"/>
      <c r="AE20" s="596"/>
      <c r="AF20" s="581"/>
      <c r="AG20" s="596"/>
      <c r="AH20" s="581"/>
      <c r="AI20" s="596"/>
      <c r="AJ20" s="581"/>
      <c r="AK20" s="596"/>
      <c r="AL20" s="581"/>
      <c r="AM20" s="596"/>
      <c r="AN20" s="581"/>
      <c r="AO20" s="596"/>
      <c r="AP20" s="581"/>
      <c r="AQ20" s="596"/>
      <c r="AR20" s="581"/>
      <c r="AS20" s="596"/>
      <c r="AT20" s="581"/>
      <c r="AU20" s="596"/>
      <c r="AV20" s="581"/>
      <c r="AW20" s="596"/>
      <c r="AY20" s="626"/>
      <c r="AZ20" s="80">
        <v>12</v>
      </c>
      <c r="BA20" s="290" t="s">
        <v>404</v>
      </c>
      <c r="BB20" s="80" t="s">
        <v>468</v>
      </c>
      <c r="BC20" s="78" t="s">
        <v>471</v>
      </c>
      <c r="BD20" s="233"/>
      <c r="BE20" s="78" t="str">
        <f t="shared" si="2"/>
        <v>N/A</v>
      </c>
      <c r="BF20" s="233"/>
      <c r="BG20" s="78" t="str">
        <f t="shared" si="17"/>
        <v>N/A</v>
      </c>
      <c r="BH20" s="78"/>
      <c r="BI20" s="78" t="str">
        <f>IF(OR(ISBLANK(J20),ISBLANK(L20)),"N/A",IF(ABS((L20-J20)/J20)&gt;0.25,"&gt; 25%","ok"))</f>
        <v>N/A</v>
      </c>
      <c r="BJ20" s="78"/>
      <c r="BK20" s="78" t="str">
        <f t="shared" si="19"/>
        <v>N/A</v>
      </c>
      <c r="BL20" s="78"/>
      <c r="BM20" s="78" t="str">
        <f t="shared" si="20"/>
        <v>N/A</v>
      </c>
      <c r="BN20" s="78"/>
      <c r="BO20" s="78" t="str">
        <f t="shared" si="3"/>
        <v>N/A</v>
      </c>
      <c r="BP20" s="78"/>
      <c r="BQ20" s="78" t="str">
        <f t="shared" si="4"/>
        <v>N/A</v>
      </c>
      <c r="BR20" s="78"/>
      <c r="BS20" s="78" t="str">
        <f t="shared" si="5"/>
        <v>N/A</v>
      </c>
      <c r="BT20" s="78"/>
      <c r="BU20" s="78" t="str">
        <f t="shared" si="6"/>
        <v>N/A</v>
      </c>
      <c r="BV20" s="78"/>
      <c r="BW20" s="78" t="str">
        <f t="shared" si="7"/>
        <v>N/A</v>
      </c>
      <c r="BX20" s="78"/>
      <c r="BY20" s="78" t="str">
        <f t="shared" si="8"/>
        <v>N/A</v>
      </c>
      <c r="BZ20" s="78"/>
      <c r="CA20" s="78" t="str">
        <f t="shared" si="9"/>
        <v>N/A</v>
      </c>
      <c r="CB20" s="78"/>
      <c r="CC20" s="78" t="str">
        <f t="shared" si="10"/>
        <v>N/A</v>
      </c>
      <c r="CD20" s="78"/>
      <c r="CE20" s="78" t="str">
        <f t="shared" si="11"/>
        <v>N/A</v>
      </c>
      <c r="CF20" s="78"/>
      <c r="CG20" s="78" t="str">
        <f t="shared" si="12"/>
        <v>N/A</v>
      </c>
      <c r="CH20" s="78"/>
      <c r="CI20" s="78" t="str">
        <f t="shared" si="13"/>
        <v>N/A</v>
      </c>
      <c r="CJ20" s="78"/>
      <c r="CK20" s="78" t="str">
        <f t="shared" si="14"/>
        <v>N/A</v>
      </c>
      <c r="CL20" s="78"/>
      <c r="CM20" s="78" t="str">
        <f t="shared" si="0"/>
        <v>N/A</v>
      </c>
      <c r="CN20" s="78"/>
      <c r="CO20" s="78" t="str">
        <f t="shared" si="15"/>
        <v>N/A</v>
      </c>
      <c r="CP20" s="78"/>
      <c r="CQ20" s="78" t="str">
        <f t="shared" si="16"/>
        <v>N/A</v>
      </c>
      <c r="CR20" s="78"/>
      <c r="CS20" s="78" t="str">
        <f t="shared" si="1"/>
        <v>N/A</v>
      </c>
      <c r="CT20" s="78"/>
    </row>
    <row r="21" spans="1:98" s="625" customFormat="1" ht="14.85" customHeight="1" x14ac:dyDescent="0.2">
      <c r="A21" s="623"/>
      <c r="B21" s="358">
        <v>2435</v>
      </c>
      <c r="C21" s="242">
        <v>13</v>
      </c>
      <c r="D21" s="359" t="s">
        <v>249</v>
      </c>
      <c r="E21" s="244" t="s">
        <v>302</v>
      </c>
      <c r="F21" s="581"/>
      <c r="G21" s="596"/>
      <c r="H21" s="581"/>
      <c r="I21" s="596"/>
      <c r="J21" s="581"/>
      <c r="K21" s="596"/>
      <c r="L21" s="581"/>
      <c r="M21" s="596"/>
      <c r="N21" s="581"/>
      <c r="O21" s="596"/>
      <c r="P21" s="581"/>
      <c r="Q21" s="596"/>
      <c r="R21" s="581"/>
      <c r="S21" s="596"/>
      <c r="T21" s="581"/>
      <c r="U21" s="596"/>
      <c r="V21" s="581"/>
      <c r="W21" s="596"/>
      <c r="X21" s="581"/>
      <c r="Y21" s="596"/>
      <c r="Z21" s="581"/>
      <c r="AA21" s="596"/>
      <c r="AB21" s="581"/>
      <c r="AC21" s="596"/>
      <c r="AD21" s="581"/>
      <c r="AE21" s="596"/>
      <c r="AF21" s="581"/>
      <c r="AG21" s="596"/>
      <c r="AH21" s="581"/>
      <c r="AI21" s="596"/>
      <c r="AJ21" s="581"/>
      <c r="AK21" s="596"/>
      <c r="AL21" s="581"/>
      <c r="AM21" s="596"/>
      <c r="AN21" s="581"/>
      <c r="AO21" s="596"/>
      <c r="AP21" s="581"/>
      <c r="AQ21" s="596"/>
      <c r="AR21" s="581"/>
      <c r="AS21" s="596"/>
      <c r="AT21" s="581"/>
      <c r="AU21" s="596"/>
      <c r="AV21" s="581"/>
      <c r="AW21" s="596"/>
      <c r="AY21" s="626"/>
      <c r="AZ21" s="80">
        <v>13</v>
      </c>
      <c r="BA21" s="290" t="s">
        <v>473</v>
      </c>
      <c r="BB21" s="80" t="s">
        <v>468</v>
      </c>
      <c r="BC21" s="78" t="s">
        <v>471</v>
      </c>
      <c r="BD21" s="233"/>
      <c r="BE21" s="78" t="str">
        <f t="shared" si="2"/>
        <v>N/A</v>
      </c>
      <c r="BF21" s="233"/>
      <c r="BG21" s="78" t="str">
        <f t="shared" si="17"/>
        <v>N/A</v>
      </c>
      <c r="BH21" s="78"/>
      <c r="BI21" s="78" t="str">
        <f t="shared" si="18"/>
        <v>N/A</v>
      </c>
      <c r="BJ21" s="78"/>
      <c r="BK21" s="78" t="str">
        <f t="shared" si="19"/>
        <v>N/A</v>
      </c>
      <c r="BL21" s="78"/>
      <c r="BM21" s="78" t="str">
        <f t="shared" si="20"/>
        <v>N/A</v>
      </c>
      <c r="BN21" s="78"/>
      <c r="BO21" s="78" t="str">
        <f t="shared" si="3"/>
        <v>N/A</v>
      </c>
      <c r="BP21" s="78"/>
      <c r="BQ21" s="78" t="str">
        <f t="shared" si="4"/>
        <v>N/A</v>
      </c>
      <c r="BR21" s="78"/>
      <c r="BS21" s="78" t="str">
        <f t="shared" si="5"/>
        <v>N/A</v>
      </c>
      <c r="BT21" s="78"/>
      <c r="BU21" s="78" t="str">
        <f t="shared" si="6"/>
        <v>N/A</v>
      </c>
      <c r="BV21" s="78"/>
      <c r="BW21" s="78" t="str">
        <f t="shared" si="7"/>
        <v>N/A</v>
      </c>
      <c r="BX21" s="78"/>
      <c r="BY21" s="78" t="str">
        <f t="shared" si="8"/>
        <v>N/A</v>
      </c>
      <c r="BZ21" s="78"/>
      <c r="CA21" s="78" t="str">
        <f t="shared" si="9"/>
        <v>N/A</v>
      </c>
      <c r="CB21" s="78"/>
      <c r="CC21" s="78" t="str">
        <f t="shared" si="10"/>
        <v>N/A</v>
      </c>
      <c r="CD21" s="78"/>
      <c r="CE21" s="78" t="str">
        <f t="shared" si="11"/>
        <v>N/A</v>
      </c>
      <c r="CF21" s="78"/>
      <c r="CG21" s="78" t="str">
        <f t="shared" si="12"/>
        <v>N/A</v>
      </c>
      <c r="CH21" s="78"/>
      <c r="CI21" s="78" t="str">
        <f t="shared" si="13"/>
        <v>N/A</v>
      </c>
      <c r="CJ21" s="78"/>
      <c r="CK21" s="78" t="str">
        <f t="shared" si="14"/>
        <v>N/A</v>
      </c>
      <c r="CL21" s="78"/>
      <c r="CM21" s="78" t="str">
        <f t="shared" si="0"/>
        <v>N/A</v>
      </c>
      <c r="CN21" s="78"/>
      <c r="CO21" s="78" t="str">
        <f t="shared" si="15"/>
        <v>N/A</v>
      </c>
      <c r="CP21" s="78"/>
      <c r="CQ21" s="78" t="str">
        <f t="shared" si="16"/>
        <v>N/A</v>
      </c>
      <c r="CR21" s="78"/>
      <c r="CS21" s="78" t="str">
        <f t="shared" si="1"/>
        <v>N/A</v>
      </c>
      <c r="CT21" s="78"/>
    </row>
    <row r="22" spans="1:98" s="376" customFormat="1" ht="25.5" customHeight="1" x14ac:dyDescent="0.2">
      <c r="A22" s="423" t="s">
        <v>460</v>
      </c>
      <c r="B22" s="362">
        <v>79</v>
      </c>
      <c r="C22" s="375">
        <v>14</v>
      </c>
      <c r="D22" s="364" t="s">
        <v>538</v>
      </c>
      <c r="E22" s="244" t="s">
        <v>302</v>
      </c>
      <c r="F22" s="581"/>
      <c r="G22" s="596"/>
      <c r="H22" s="581"/>
      <c r="I22" s="596"/>
      <c r="J22" s="581"/>
      <c r="K22" s="596"/>
      <c r="L22" s="581"/>
      <c r="M22" s="596"/>
      <c r="N22" s="581"/>
      <c r="O22" s="596"/>
      <c r="P22" s="581"/>
      <c r="Q22" s="596"/>
      <c r="R22" s="581"/>
      <c r="S22" s="596"/>
      <c r="T22" s="581"/>
      <c r="U22" s="596"/>
      <c r="V22" s="581"/>
      <c r="W22" s="596"/>
      <c r="X22" s="581"/>
      <c r="Y22" s="596"/>
      <c r="Z22" s="581"/>
      <c r="AA22" s="596"/>
      <c r="AB22" s="581"/>
      <c r="AC22" s="596"/>
      <c r="AD22" s="581"/>
      <c r="AE22" s="596"/>
      <c r="AF22" s="581"/>
      <c r="AG22" s="596"/>
      <c r="AH22" s="581"/>
      <c r="AI22" s="596"/>
      <c r="AJ22" s="581"/>
      <c r="AK22" s="596"/>
      <c r="AL22" s="581"/>
      <c r="AM22" s="596"/>
      <c r="AN22" s="581"/>
      <c r="AO22" s="596"/>
      <c r="AP22" s="581"/>
      <c r="AQ22" s="596"/>
      <c r="AR22" s="581"/>
      <c r="AS22" s="596"/>
      <c r="AT22" s="581"/>
      <c r="AU22" s="596"/>
      <c r="AV22" s="581"/>
      <c r="AW22" s="596"/>
      <c r="AY22" s="643"/>
      <c r="AZ22" s="366">
        <v>14</v>
      </c>
      <c r="BA22" s="367" t="s">
        <v>125</v>
      </c>
      <c r="BB22" s="80" t="s">
        <v>468</v>
      </c>
      <c r="BC22" s="78" t="s">
        <v>471</v>
      </c>
      <c r="BD22" s="368"/>
      <c r="BE22" s="78" t="str">
        <f t="shared" si="2"/>
        <v>N/A</v>
      </c>
      <c r="BF22" s="368"/>
      <c r="BG22" s="78" t="str">
        <f t="shared" si="17"/>
        <v>N/A</v>
      </c>
      <c r="BH22" s="103"/>
      <c r="BI22" s="78" t="str">
        <f t="shared" si="18"/>
        <v>N/A</v>
      </c>
      <c r="BJ22" s="103"/>
      <c r="BK22" s="78" t="str">
        <f t="shared" si="19"/>
        <v>N/A</v>
      </c>
      <c r="BL22" s="103"/>
      <c r="BM22" s="78" t="str">
        <f t="shared" si="20"/>
        <v>N/A</v>
      </c>
      <c r="BN22" s="103"/>
      <c r="BO22" s="78" t="str">
        <f t="shared" si="3"/>
        <v>N/A</v>
      </c>
      <c r="BP22" s="103"/>
      <c r="BQ22" s="78" t="str">
        <f t="shared" si="4"/>
        <v>N/A</v>
      </c>
      <c r="BR22" s="103"/>
      <c r="BS22" s="78" t="str">
        <f t="shared" si="5"/>
        <v>N/A</v>
      </c>
      <c r="BT22" s="103"/>
      <c r="BU22" s="78" t="str">
        <f t="shared" si="6"/>
        <v>N/A</v>
      </c>
      <c r="BV22" s="103"/>
      <c r="BW22" s="78" t="str">
        <f t="shared" si="7"/>
        <v>N/A</v>
      </c>
      <c r="BX22" s="103"/>
      <c r="BY22" s="78" t="str">
        <f t="shared" si="8"/>
        <v>N/A</v>
      </c>
      <c r="BZ22" s="103"/>
      <c r="CA22" s="78" t="str">
        <f t="shared" si="9"/>
        <v>N/A</v>
      </c>
      <c r="CB22" s="103"/>
      <c r="CC22" s="78" t="str">
        <f t="shared" si="10"/>
        <v>N/A</v>
      </c>
      <c r="CD22" s="103"/>
      <c r="CE22" s="78" t="str">
        <f t="shared" si="11"/>
        <v>N/A</v>
      </c>
      <c r="CF22" s="103"/>
      <c r="CG22" s="78" t="str">
        <f t="shared" si="12"/>
        <v>N/A</v>
      </c>
      <c r="CH22" s="103"/>
      <c r="CI22" s="78" t="str">
        <f t="shared" si="13"/>
        <v>N/A</v>
      </c>
      <c r="CJ22" s="103"/>
      <c r="CK22" s="78" t="str">
        <f t="shared" si="14"/>
        <v>N/A</v>
      </c>
      <c r="CL22" s="103"/>
      <c r="CM22" s="78" t="str">
        <f t="shared" si="0"/>
        <v>N/A</v>
      </c>
      <c r="CN22" s="103"/>
      <c r="CO22" s="78" t="str">
        <f t="shared" si="15"/>
        <v>N/A</v>
      </c>
      <c r="CP22" s="103"/>
      <c r="CQ22" s="78" t="str">
        <f t="shared" si="16"/>
        <v>N/A</v>
      </c>
      <c r="CR22" s="103"/>
      <c r="CS22" s="78" t="str">
        <f t="shared" si="1"/>
        <v>N/A</v>
      </c>
      <c r="CT22" s="103"/>
    </row>
    <row r="23" spans="1:98" s="376" customFormat="1" ht="14.85" customHeight="1" x14ac:dyDescent="0.2">
      <c r="A23" s="378"/>
      <c r="B23" s="362">
        <v>34</v>
      </c>
      <c r="C23" s="375">
        <v>15</v>
      </c>
      <c r="D23" s="364" t="s">
        <v>253</v>
      </c>
      <c r="E23" s="244" t="s">
        <v>302</v>
      </c>
      <c r="F23" s="581"/>
      <c r="G23" s="596"/>
      <c r="H23" s="581"/>
      <c r="I23" s="596"/>
      <c r="J23" s="581"/>
      <c r="K23" s="596"/>
      <c r="L23" s="581"/>
      <c r="M23" s="596"/>
      <c r="N23" s="581"/>
      <c r="O23" s="596"/>
      <c r="P23" s="581"/>
      <c r="Q23" s="596"/>
      <c r="R23" s="581"/>
      <c r="S23" s="596"/>
      <c r="T23" s="581"/>
      <c r="U23" s="596"/>
      <c r="V23" s="581"/>
      <c r="W23" s="596"/>
      <c r="X23" s="581"/>
      <c r="Y23" s="596"/>
      <c r="Z23" s="581"/>
      <c r="AA23" s="596"/>
      <c r="AB23" s="581"/>
      <c r="AC23" s="596"/>
      <c r="AD23" s="581"/>
      <c r="AE23" s="596"/>
      <c r="AF23" s="581"/>
      <c r="AG23" s="596"/>
      <c r="AH23" s="581"/>
      <c r="AI23" s="596"/>
      <c r="AJ23" s="581"/>
      <c r="AK23" s="596"/>
      <c r="AL23" s="581"/>
      <c r="AM23" s="596"/>
      <c r="AN23" s="581"/>
      <c r="AO23" s="596"/>
      <c r="AP23" s="581"/>
      <c r="AQ23" s="596"/>
      <c r="AR23" s="581"/>
      <c r="AS23" s="596"/>
      <c r="AT23" s="581"/>
      <c r="AU23" s="596"/>
      <c r="AV23" s="581"/>
      <c r="AW23" s="596"/>
      <c r="AY23" s="643"/>
      <c r="AZ23" s="366">
        <v>15</v>
      </c>
      <c r="BA23" s="367" t="s">
        <v>413</v>
      </c>
      <c r="BB23" s="80" t="s">
        <v>468</v>
      </c>
      <c r="BC23" s="78" t="s">
        <v>471</v>
      </c>
      <c r="BD23" s="368"/>
      <c r="BE23" s="78" t="str">
        <f t="shared" si="2"/>
        <v>N/A</v>
      </c>
      <c r="BF23" s="368"/>
      <c r="BG23" s="78" t="str">
        <f t="shared" si="17"/>
        <v>N/A</v>
      </c>
      <c r="BH23" s="103"/>
      <c r="BI23" s="78" t="str">
        <f t="shared" si="18"/>
        <v>N/A</v>
      </c>
      <c r="BJ23" s="103"/>
      <c r="BK23" s="78" t="str">
        <f t="shared" si="19"/>
        <v>N/A</v>
      </c>
      <c r="BL23" s="103"/>
      <c r="BM23" s="78" t="str">
        <f t="shared" si="20"/>
        <v>N/A</v>
      </c>
      <c r="BN23" s="103"/>
      <c r="BO23" s="78" t="str">
        <f t="shared" si="3"/>
        <v>N/A</v>
      </c>
      <c r="BP23" s="103"/>
      <c r="BQ23" s="78" t="str">
        <f t="shared" si="4"/>
        <v>N/A</v>
      </c>
      <c r="BR23" s="103"/>
      <c r="BS23" s="78" t="str">
        <f t="shared" si="5"/>
        <v>N/A</v>
      </c>
      <c r="BT23" s="103"/>
      <c r="BU23" s="78" t="str">
        <f t="shared" si="6"/>
        <v>N/A</v>
      </c>
      <c r="BV23" s="103"/>
      <c r="BW23" s="78" t="str">
        <f t="shared" si="7"/>
        <v>N/A</v>
      </c>
      <c r="BX23" s="103"/>
      <c r="BY23" s="78" t="str">
        <f t="shared" si="8"/>
        <v>N/A</v>
      </c>
      <c r="BZ23" s="103"/>
      <c r="CA23" s="78" t="str">
        <f t="shared" si="9"/>
        <v>N/A</v>
      </c>
      <c r="CB23" s="103"/>
      <c r="CC23" s="78" t="str">
        <f t="shared" si="10"/>
        <v>N/A</v>
      </c>
      <c r="CD23" s="103"/>
      <c r="CE23" s="78" t="str">
        <f t="shared" si="11"/>
        <v>N/A</v>
      </c>
      <c r="CF23" s="103"/>
      <c r="CG23" s="78" t="str">
        <f t="shared" si="12"/>
        <v>N/A</v>
      </c>
      <c r="CH23" s="103"/>
      <c r="CI23" s="78" t="str">
        <f t="shared" si="13"/>
        <v>N/A</v>
      </c>
      <c r="CJ23" s="103"/>
      <c r="CK23" s="78" t="str">
        <f t="shared" si="14"/>
        <v>N/A</v>
      </c>
      <c r="CL23" s="103"/>
      <c r="CM23" s="78" t="str">
        <f t="shared" si="0"/>
        <v>N/A</v>
      </c>
      <c r="CN23" s="103"/>
      <c r="CO23" s="78" t="str">
        <f t="shared" si="15"/>
        <v>N/A</v>
      </c>
      <c r="CP23" s="103"/>
      <c r="CQ23" s="78" t="str">
        <f t="shared" si="16"/>
        <v>N/A</v>
      </c>
      <c r="CR23" s="103"/>
      <c r="CS23" s="78" t="str">
        <f t="shared" si="1"/>
        <v>N/A</v>
      </c>
      <c r="CT23" s="103"/>
    </row>
    <row r="24" spans="1:98" s="376" customFormat="1" ht="15" customHeight="1" x14ac:dyDescent="0.2">
      <c r="A24" s="378" t="s">
        <v>460</v>
      </c>
      <c r="B24" s="362">
        <v>35</v>
      </c>
      <c r="C24" s="375">
        <v>16</v>
      </c>
      <c r="D24" s="364" t="s">
        <v>548</v>
      </c>
      <c r="E24" s="244" t="s">
        <v>302</v>
      </c>
      <c r="F24" s="581"/>
      <c r="G24" s="596"/>
      <c r="H24" s="581"/>
      <c r="I24" s="596"/>
      <c r="J24" s="581"/>
      <c r="K24" s="596"/>
      <c r="L24" s="581"/>
      <c r="M24" s="596"/>
      <c r="N24" s="581"/>
      <c r="O24" s="596"/>
      <c r="P24" s="581"/>
      <c r="Q24" s="596"/>
      <c r="R24" s="581"/>
      <c r="S24" s="596"/>
      <c r="T24" s="581"/>
      <c r="U24" s="596"/>
      <c r="V24" s="581"/>
      <c r="W24" s="596"/>
      <c r="X24" s="581"/>
      <c r="Y24" s="596"/>
      <c r="Z24" s="581"/>
      <c r="AA24" s="596"/>
      <c r="AB24" s="581"/>
      <c r="AC24" s="596"/>
      <c r="AD24" s="581"/>
      <c r="AE24" s="596"/>
      <c r="AF24" s="581"/>
      <c r="AG24" s="596"/>
      <c r="AH24" s="581"/>
      <c r="AI24" s="596"/>
      <c r="AJ24" s="581"/>
      <c r="AK24" s="596"/>
      <c r="AL24" s="581"/>
      <c r="AM24" s="596"/>
      <c r="AN24" s="581"/>
      <c r="AO24" s="596"/>
      <c r="AP24" s="581"/>
      <c r="AQ24" s="596"/>
      <c r="AR24" s="581"/>
      <c r="AS24" s="596"/>
      <c r="AT24" s="581"/>
      <c r="AU24" s="596"/>
      <c r="AV24" s="581"/>
      <c r="AW24" s="596"/>
      <c r="AY24" s="643"/>
      <c r="AZ24" s="366">
        <v>16</v>
      </c>
      <c r="BA24" s="367" t="s">
        <v>126</v>
      </c>
      <c r="BB24" s="80" t="s">
        <v>468</v>
      </c>
      <c r="BC24" s="103" t="s">
        <v>471</v>
      </c>
      <c r="BD24" s="368"/>
      <c r="BE24" s="78" t="str">
        <f t="shared" si="2"/>
        <v>N/A</v>
      </c>
      <c r="BF24" s="368"/>
      <c r="BG24" s="78" t="str">
        <f t="shared" si="17"/>
        <v>N/A</v>
      </c>
      <c r="BH24" s="103"/>
      <c r="BI24" s="78" t="str">
        <f t="shared" si="18"/>
        <v>N/A</v>
      </c>
      <c r="BJ24" s="103"/>
      <c r="BK24" s="78" t="str">
        <f t="shared" si="19"/>
        <v>N/A</v>
      </c>
      <c r="BL24" s="103"/>
      <c r="BM24" s="78" t="str">
        <f t="shared" si="20"/>
        <v>N/A</v>
      </c>
      <c r="BN24" s="103"/>
      <c r="BO24" s="78" t="str">
        <f t="shared" si="3"/>
        <v>N/A</v>
      </c>
      <c r="BP24" s="103"/>
      <c r="BQ24" s="78" t="str">
        <f t="shared" si="4"/>
        <v>N/A</v>
      </c>
      <c r="BR24" s="103"/>
      <c r="BS24" s="78" t="str">
        <f t="shared" si="5"/>
        <v>N/A</v>
      </c>
      <c r="BT24" s="103"/>
      <c r="BU24" s="78" t="str">
        <f t="shared" si="6"/>
        <v>N/A</v>
      </c>
      <c r="BV24" s="103"/>
      <c r="BW24" s="78" t="str">
        <f t="shared" si="7"/>
        <v>N/A</v>
      </c>
      <c r="BX24" s="103"/>
      <c r="BY24" s="78" t="str">
        <f t="shared" si="8"/>
        <v>N/A</v>
      </c>
      <c r="BZ24" s="103"/>
      <c r="CA24" s="78" t="str">
        <f t="shared" si="9"/>
        <v>N/A</v>
      </c>
      <c r="CB24" s="103"/>
      <c r="CC24" s="78" t="str">
        <f t="shared" si="10"/>
        <v>N/A</v>
      </c>
      <c r="CD24" s="103"/>
      <c r="CE24" s="78" t="str">
        <f t="shared" si="11"/>
        <v>N/A</v>
      </c>
      <c r="CF24" s="103"/>
      <c r="CG24" s="78" t="str">
        <f t="shared" si="12"/>
        <v>N/A</v>
      </c>
      <c r="CH24" s="103"/>
      <c r="CI24" s="78" t="str">
        <f t="shared" si="13"/>
        <v>N/A</v>
      </c>
      <c r="CJ24" s="103"/>
      <c r="CK24" s="78" t="str">
        <f t="shared" si="14"/>
        <v>N/A</v>
      </c>
      <c r="CL24" s="103"/>
      <c r="CM24" s="78" t="str">
        <f t="shared" si="0"/>
        <v>N/A</v>
      </c>
      <c r="CN24" s="103"/>
      <c r="CO24" s="78" t="str">
        <f t="shared" si="15"/>
        <v>N/A</v>
      </c>
      <c r="CP24" s="103"/>
      <c r="CQ24" s="78" t="str">
        <f t="shared" si="16"/>
        <v>N/A</v>
      </c>
      <c r="CR24" s="103"/>
      <c r="CS24" s="78" t="str">
        <f t="shared" si="1"/>
        <v>N/A</v>
      </c>
      <c r="CT24" s="103"/>
    </row>
    <row r="25" spans="1:98" s="625" customFormat="1" ht="14.85" customHeight="1" x14ac:dyDescent="0.2">
      <c r="A25" s="623"/>
      <c r="B25" s="358">
        <v>5010</v>
      </c>
      <c r="C25" s="242"/>
      <c r="D25" s="607" t="s">
        <v>311</v>
      </c>
      <c r="E25" s="608"/>
      <c r="F25" s="603"/>
      <c r="G25" s="604"/>
      <c r="H25" s="603"/>
      <c r="I25" s="604"/>
      <c r="J25" s="603"/>
      <c r="K25" s="604"/>
      <c r="L25" s="603"/>
      <c r="M25" s="604"/>
      <c r="N25" s="603"/>
      <c r="O25" s="604"/>
      <c r="P25" s="603"/>
      <c r="Q25" s="604"/>
      <c r="R25" s="603"/>
      <c r="S25" s="604"/>
      <c r="T25" s="603"/>
      <c r="U25" s="604"/>
      <c r="V25" s="603"/>
      <c r="W25" s="604"/>
      <c r="X25" s="603"/>
      <c r="Y25" s="604"/>
      <c r="Z25" s="603"/>
      <c r="AA25" s="604"/>
      <c r="AB25" s="603"/>
      <c r="AC25" s="604"/>
      <c r="AD25" s="603"/>
      <c r="AE25" s="604"/>
      <c r="AF25" s="603"/>
      <c r="AG25" s="604"/>
      <c r="AH25" s="603"/>
      <c r="AI25" s="604"/>
      <c r="AJ25" s="603"/>
      <c r="AK25" s="604"/>
      <c r="AL25" s="603"/>
      <c r="AM25" s="604"/>
      <c r="AN25" s="603"/>
      <c r="AO25" s="604"/>
      <c r="AP25" s="603"/>
      <c r="AQ25" s="604"/>
      <c r="AR25" s="603"/>
      <c r="AS25" s="604"/>
      <c r="AT25" s="603"/>
      <c r="AU25" s="604"/>
      <c r="AV25" s="603"/>
      <c r="AW25" s="604"/>
      <c r="AY25" s="626"/>
      <c r="AZ25" s="80"/>
      <c r="BA25" s="370" t="s">
        <v>124</v>
      </c>
      <c r="BB25" s="80"/>
      <c r="BC25" s="78"/>
      <c r="BD25" s="233"/>
      <c r="BE25" s="78"/>
      <c r="BF25" s="233"/>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row>
    <row r="26" spans="1:98" s="625" customFormat="1" ht="14.85" customHeight="1" x14ac:dyDescent="0.2">
      <c r="A26" s="623"/>
      <c r="B26" s="358">
        <v>279</v>
      </c>
      <c r="C26" s="242">
        <v>17</v>
      </c>
      <c r="D26" s="379" t="s">
        <v>309</v>
      </c>
      <c r="E26" s="244" t="s">
        <v>302</v>
      </c>
      <c r="F26" s="581"/>
      <c r="G26" s="596"/>
      <c r="H26" s="581"/>
      <c r="I26" s="596"/>
      <c r="J26" s="581"/>
      <c r="K26" s="596"/>
      <c r="L26" s="581"/>
      <c r="M26" s="596"/>
      <c r="N26" s="581"/>
      <c r="O26" s="596"/>
      <c r="P26" s="581"/>
      <c r="Q26" s="596"/>
      <c r="R26" s="581">
        <v>358</v>
      </c>
      <c r="S26" s="596" t="s">
        <v>635</v>
      </c>
      <c r="T26" s="581">
        <v>365</v>
      </c>
      <c r="U26" s="596" t="s">
        <v>635</v>
      </c>
      <c r="V26" s="581">
        <v>378</v>
      </c>
      <c r="W26" s="596" t="s">
        <v>635</v>
      </c>
      <c r="X26" s="581">
        <v>386</v>
      </c>
      <c r="Y26" s="596" t="s">
        <v>635</v>
      </c>
      <c r="Z26" s="581">
        <v>413</v>
      </c>
      <c r="AA26" s="596" t="s">
        <v>635</v>
      </c>
      <c r="AB26" s="581">
        <v>430</v>
      </c>
      <c r="AC26" s="596" t="s">
        <v>635</v>
      </c>
      <c r="AD26" s="581">
        <v>440</v>
      </c>
      <c r="AE26" s="596" t="s">
        <v>635</v>
      </c>
      <c r="AF26" s="581">
        <v>461</v>
      </c>
      <c r="AG26" s="596"/>
      <c r="AH26" s="581">
        <v>500</v>
      </c>
      <c r="AI26" s="596"/>
      <c r="AJ26" s="581">
        <v>491</v>
      </c>
      <c r="AK26" s="596"/>
      <c r="AL26" s="581">
        <v>501</v>
      </c>
      <c r="AM26" s="596"/>
      <c r="AN26" s="581">
        <v>517</v>
      </c>
      <c r="AO26" s="596"/>
      <c r="AP26" s="581"/>
      <c r="AQ26" s="596"/>
      <c r="AR26" s="581"/>
      <c r="AS26" s="596"/>
      <c r="AT26" s="581"/>
      <c r="AU26" s="596"/>
      <c r="AV26" s="581"/>
      <c r="AW26" s="596"/>
      <c r="AY26" s="626"/>
      <c r="AZ26" s="80">
        <v>17</v>
      </c>
      <c r="BA26" s="290" t="s">
        <v>69</v>
      </c>
      <c r="BB26" s="80" t="s">
        <v>468</v>
      </c>
      <c r="BC26" s="78" t="s">
        <v>471</v>
      </c>
      <c r="BD26" s="233"/>
      <c r="BE26" s="78" t="str">
        <f t="shared" si="2"/>
        <v>N/A</v>
      </c>
      <c r="BF26" s="233"/>
      <c r="BG26" s="78" t="str">
        <f t="shared" ref="BG26:BG31" si="21">IF(OR(ISBLANK(H26),ISBLANK(J26)),"N/A",IF(ABS((J26-H26)/H26)&gt;0.25,"&gt; 25%","ok"))</f>
        <v>N/A</v>
      </c>
      <c r="BH26" s="78"/>
      <c r="BI26" s="78" t="str">
        <f t="shared" ref="BI26:BI31" si="22">IF(OR(ISBLANK(J26),ISBLANK(L26)),"N/A",IF(ABS((L26-J26)/J26)&gt;0.25,"&gt; 25%","ok"))</f>
        <v>N/A</v>
      </c>
      <c r="BJ26" s="78"/>
      <c r="BK26" s="78" t="str">
        <f t="shared" ref="BK26:BK31" si="23">IF(OR(ISBLANK(L26),ISBLANK(N26)),"N/A",IF(ABS((N26-L26)/L26)&gt;0.25,"&gt; 25%","ok"))</f>
        <v>N/A</v>
      </c>
      <c r="BL26" s="78"/>
      <c r="BM26" s="78" t="str">
        <f t="shared" ref="BM26:BM31" si="24">IF(OR(ISBLANK(N26),ISBLANK(P26)),"N/A",IF(ABS((P26-N26)/N26)&gt;0.25,"&gt; 25%","ok"))</f>
        <v>N/A</v>
      </c>
      <c r="BN26" s="78"/>
      <c r="BO26" s="78" t="str">
        <f t="shared" si="3"/>
        <v>N/A</v>
      </c>
      <c r="BP26" s="78"/>
      <c r="BQ26" s="78" t="str">
        <f t="shared" si="4"/>
        <v>ok</v>
      </c>
      <c r="BR26" s="78"/>
      <c r="BS26" s="78" t="str">
        <f t="shared" si="5"/>
        <v>ok</v>
      </c>
      <c r="BT26" s="78"/>
      <c r="BU26" s="78" t="str">
        <f>IF(OR(ISBLANK(V26),ISBLANK(X26)),"N/A",IF(ABS((X26-V26)/V26)&gt;0.25,"&gt; 25%","ok"))</f>
        <v>ok</v>
      </c>
      <c r="BV26" s="78"/>
      <c r="BW26" s="78" t="str">
        <f t="shared" si="7"/>
        <v>ok</v>
      </c>
      <c r="BX26" s="78"/>
      <c r="BY26" s="78" t="str">
        <f t="shared" si="8"/>
        <v>ok</v>
      </c>
      <c r="BZ26" s="78"/>
      <c r="CA26" s="78" t="str">
        <f t="shared" si="9"/>
        <v>ok</v>
      </c>
      <c r="CB26" s="78"/>
      <c r="CC26" s="78" t="str">
        <f t="shared" si="10"/>
        <v>ok</v>
      </c>
      <c r="CD26" s="78"/>
      <c r="CE26" s="78" t="str">
        <f t="shared" si="11"/>
        <v>ok</v>
      </c>
      <c r="CF26" s="78"/>
      <c r="CG26" s="78" t="str">
        <f t="shared" si="12"/>
        <v>ok</v>
      </c>
      <c r="CH26" s="78"/>
      <c r="CI26" s="78" t="str">
        <f t="shared" si="13"/>
        <v>ok</v>
      </c>
      <c r="CJ26" s="78"/>
      <c r="CK26" s="78" t="str">
        <f t="shared" si="14"/>
        <v>ok</v>
      </c>
      <c r="CL26" s="78"/>
      <c r="CM26" s="78" t="str">
        <f t="shared" si="0"/>
        <v>N/A</v>
      </c>
      <c r="CN26" s="78"/>
      <c r="CO26" s="78" t="str">
        <f t="shared" si="15"/>
        <v>N/A</v>
      </c>
      <c r="CP26" s="78"/>
      <c r="CQ26" s="78" t="str">
        <f t="shared" si="16"/>
        <v>N/A</v>
      </c>
      <c r="CR26" s="78"/>
      <c r="CS26" s="78" t="str">
        <f t="shared" si="1"/>
        <v>N/A</v>
      </c>
      <c r="CT26" s="78"/>
    </row>
    <row r="27" spans="1:98" s="625" customFormat="1" ht="25.5" customHeight="1" x14ac:dyDescent="0.2">
      <c r="A27" s="623"/>
      <c r="B27" s="358">
        <v>280</v>
      </c>
      <c r="C27" s="380">
        <v>18</v>
      </c>
      <c r="D27" s="379" t="s">
        <v>329</v>
      </c>
      <c r="E27" s="244" t="s">
        <v>302</v>
      </c>
      <c r="F27" s="582"/>
      <c r="G27" s="593"/>
      <c r="H27" s="582"/>
      <c r="I27" s="593"/>
      <c r="J27" s="582"/>
      <c r="K27" s="593"/>
      <c r="L27" s="582"/>
      <c r="M27" s="593"/>
      <c r="N27" s="582"/>
      <c r="O27" s="593"/>
      <c r="P27" s="582"/>
      <c r="Q27" s="593"/>
      <c r="R27" s="582"/>
      <c r="S27" s="593"/>
      <c r="T27" s="582">
        <v>2384</v>
      </c>
      <c r="U27" s="593"/>
      <c r="V27" s="582">
        <v>2150</v>
      </c>
      <c r="W27" s="593"/>
      <c r="X27" s="582">
        <v>3150</v>
      </c>
      <c r="Y27" s="593"/>
      <c r="Z27" s="582">
        <v>8515</v>
      </c>
      <c r="AA27" s="593"/>
      <c r="AB27" s="582">
        <v>8685</v>
      </c>
      <c r="AC27" s="593"/>
      <c r="AD27" s="582">
        <v>9415</v>
      </c>
      <c r="AE27" s="593"/>
      <c r="AF27" s="582">
        <v>8512</v>
      </c>
      <c r="AG27" s="593"/>
      <c r="AH27" s="582">
        <v>9043</v>
      </c>
      <c r="AI27" s="593"/>
      <c r="AJ27" s="582"/>
      <c r="AK27" s="593"/>
      <c r="AL27" s="582"/>
      <c r="AM27" s="593"/>
      <c r="AN27" s="582"/>
      <c r="AO27" s="593"/>
      <c r="AP27" s="582"/>
      <c r="AQ27" s="593"/>
      <c r="AR27" s="582"/>
      <c r="AS27" s="593"/>
      <c r="AT27" s="582"/>
      <c r="AU27" s="593"/>
      <c r="AV27" s="582"/>
      <c r="AW27" s="593"/>
      <c r="AY27" s="626"/>
      <c r="AZ27" s="381">
        <v>18</v>
      </c>
      <c r="BA27" s="290" t="s">
        <v>501</v>
      </c>
      <c r="BB27" s="80" t="s">
        <v>468</v>
      </c>
      <c r="BC27" s="78" t="s">
        <v>471</v>
      </c>
      <c r="BD27" s="238"/>
      <c r="BE27" s="78" t="str">
        <f>IF(OR(ISBLANK(F27),ISBLANK(H27)),"N/A",IF(ABS((H27-F27)/F27)&gt;1,"&gt; 100%","ok"))</f>
        <v>N/A</v>
      </c>
      <c r="BF27" s="233"/>
      <c r="BG27" s="78" t="str">
        <f t="shared" si="21"/>
        <v>N/A</v>
      </c>
      <c r="BH27" s="78"/>
      <c r="BI27" s="78" t="str">
        <f t="shared" si="22"/>
        <v>N/A</v>
      </c>
      <c r="BJ27" s="78"/>
      <c r="BK27" s="78" t="str">
        <f t="shared" si="23"/>
        <v>N/A</v>
      </c>
      <c r="BL27" s="78"/>
      <c r="BM27" s="78" t="str">
        <f t="shared" si="24"/>
        <v>N/A</v>
      </c>
      <c r="BN27" s="78"/>
      <c r="BO27" s="78" t="str">
        <f>IF(OR(ISBLANK(P27),ISBLANK(R27)),"N/A",IF(ABS((R27-P27)/P27)&gt;0.25,"&gt; 25%","ok"))</f>
        <v>N/A</v>
      </c>
      <c r="BP27" s="78"/>
      <c r="BQ27" s="78" t="str">
        <f t="shared" si="4"/>
        <v>N/A</v>
      </c>
      <c r="BR27" s="78"/>
      <c r="BS27" s="78" t="str">
        <f t="shared" si="5"/>
        <v>ok</v>
      </c>
      <c r="BT27" s="78"/>
      <c r="BU27" s="78" t="str">
        <f t="shared" si="6"/>
        <v>&gt; 25%</v>
      </c>
      <c r="BV27" s="78"/>
      <c r="BW27" s="78" t="str">
        <f t="shared" si="7"/>
        <v>&gt; 25%</v>
      </c>
      <c r="BX27" s="78"/>
      <c r="BY27" s="78" t="str">
        <f t="shared" si="8"/>
        <v>ok</v>
      </c>
      <c r="BZ27" s="78"/>
      <c r="CA27" s="78" t="str">
        <f t="shared" si="9"/>
        <v>ok</v>
      </c>
      <c r="CB27" s="78"/>
      <c r="CC27" s="78" t="str">
        <f t="shared" si="10"/>
        <v>ok</v>
      </c>
      <c r="CD27" s="78"/>
      <c r="CE27" s="78" t="str">
        <f t="shared" si="11"/>
        <v>ok</v>
      </c>
      <c r="CF27" s="78"/>
      <c r="CG27" s="78" t="str">
        <f t="shared" si="12"/>
        <v>N/A</v>
      </c>
      <c r="CH27" s="78"/>
      <c r="CI27" s="78" t="str">
        <f t="shared" si="13"/>
        <v>N/A</v>
      </c>
      <c r="CJ27" s="78"/>
      <c r="CK27" s="78" t="str">
        <f t="shared" si="14"/>
        <v>N/A</v>
      </c>
      <c r="CL27" s="78"/>
      <c r="CM27" s="78" t="str">
        <f t="shared" si="0"/>
        <v>N/A</v>
      </c>
      <c r="CN27" s="78"/>
      <c r="CO27" s="78" t="str">
        <f t="shared" si="15"/>
        <v>N/A</v>
      </c>
      <c r="CP27" s="78"/>
      <c r="CQ27" s="78" t="str">
        <f t="shared" si="16"/>
        <v>N/A</v>
      </c>
      <c r="CR27" s="78"/>
      <c r="CS27" s="78" t="str">
        <f t="shared" si="1"/>
        <v>N/A</v>
      </c>
      <c r="CT27" s="78"/>
    </row>
    <row r="28" spans="1:98" s="625" customFormat="1" ht="14.85" customHeight="1" x14ac:dyDescent="0.2">
      <c r="A28" s="623"/>
      <c r="B28" s="358">
        <v>281</v>
      </c>
      <c r="C28" s="380">
        <v>19</v>
      </c>
      <c r="D28" s="369" t="s">
        <v>331</v>
      </c>
      <c r="E28" s="244" t="s">
        <v>302</v>
      </c>
      <c r="F28" s="582"/>
      <c r="G28" s="593"/>
      <c r="H28" s="582"/>
      <c r="I28" s="593"/>
      <c r="J28" s="582"/>
      <c r="K28" s="593"/>
      <c r="L28" s="582"/>
      <c r="M28" s="593"/>
      <c r="N28" s="582"/>
      <c r="O28" s="593"/>
      <c r="P28" s="582"/>
      <c r="Q28" s="593"/>
      <c r="R28" s="582">
        <v>2384</v>
      </c>
      <c r="S28" s="593"/>
      <c r="T28" s="582">
        <v>2150</v>
      </c>
      <c r="U28" s="593"/>
      <c r="V28" s="582">
        <v>3150</v>
      </c>
      <c r="W28" s="593"/>
      <c r="X28" s="582"/>
      <c r="Y28" s="593"/>
      <c r="Z28" s="582"/>
      <c r="AA28" s="593"/>
      <c r="AB28" s="582"/>
      <c r="AC28" s="593"/>
      <c r="AD28" s="582"/>
      <c r="AE28" s="593"/>
      <c r="AF28" s="582"/>
      <c r="AG28" s="593"/>
      <c r="AH28" s="582"/>
      <c r="AI28" s="593"/>
      <c r="AJ28" s="582"/>
      <c r="AK28" s="593"/>
      <c r="AL28" s="582"/>
      <c r="AM28" s="593"/>
      <c r="AN28" s="582"/>
      <c r="AO28" s="593"/>
      <c r="AP28" s="582"/>
      <c r="AQ28" s="593"/>
      <c r="AR28" s="582"/>
      <c r="AS28" s="593"/>
      <c r="AT28" s="582"/>
      <c r="AU28" s="593"/>
      <c r="AV28" s="582"/>
      <c r="AW28" s="593"/>
      <c r="AY28" s="626"/>
      <c r="AZ28" s="381">
        <v>19</v>
      </c>
      <c r="BA28" s="290" t="s">
        <v>631</v>
      </c>
      <c r="BB28" s="80" t="s">
        <v>468</v>
      </c>
      <c r="BC28" s="78"/>
      <c r="BD28" s="238"/>
      <c r="BE28" s="78" t="str">
        <f>IF(OR(ISBLANK(F28),ISBLANK(H28)),"N/A",IF(ABS((H28-F28)/F28)&gt;1,"&gt; 100%","ok"))</f>
        <v>N/A</v>
      </c>
      <c r="BF28" s="233"/>
      <c r="BG28" s="78" t="str">
        <f t="shared" si="21"/>
        <v>N/A</v>
      </c>
      <c r="BH28" s="78"/>
      <c r="BI28" s="78" t="str">
        <f t="shared" si="22"/>
        <v>N/A</v>
      </c>
      <c r="BJ28" s="78"/>
      <c r="BK28" s="78" t="str">
        <f t="shared" si="23"/>
        <v>N/A</v>
      </c>
      <c r="BL28" s="78"/>
      <c r="BM28" s="78" t="str">
        <f>IF(OR(ISBLANK(N28),ISBLANK(P28)),"N/A",IF(ABS((P28-N28)/N28)&gt;0.25,"&gt; 25%","ok"))</f>
        <v>N/A</v>
      </c>
      <c r="BN28" s="78"/>
      <c r="BO28" s="78" t="str">
        <f>IF(OR(ISBLANK(P28),ISBLANK(R28)),"N/A",IF(ABS((R28-P28)/P28)&gt;0.25,"&gt; 25%","ok"))</f>
        <v>N/A</v>
      </c>
      <c r="BP28" s="78"/>
      <c r="BQ28" s="78" t="str">
        <f t="shared" si="4"/>
        <v>ok</v>
      </c>
      <c r="BR28" s="78"/>
      <c r="BS28" s="78" t="str">
        <f t="shared" si="5"/>
        <v>&gt; 25%</v>
      </c>
      <c r="BT28" s="78"/>
      <c r="BU28" s="78" t="str">
        <f t="shared" si="6"/>
        <v>N/A</v>
      </c>
      <c r="BV28" s="78"/>
      <c r="BW28" s="78" t="str">
        <f t="shared" si="7"/>
        <v>N/A</v>
      </c>
      <c r="BX28" s="78"/>
      <c r="BY28" s="78" t="str">
        <f t="shared" si="8"/>
        <v>N/A</v>
      </c>
      <c r="BZ28" s="78"/>
      <c r="CA28" s="78" t="str">
        <f t="shared" si="9"/>
        <v>N/A</v>
      </c>
      <c r="CB28" s="78"/>
      <c r="CC28" s="78" t="str">
        <f t="shared" si="10"/>
        <v>N/A</v>
      </c>
      <c r="CD28" s="78"/>
      <c r="CE28" s="78" t="str">
        <f t="shared" si="11"/>
        <v>N/A</v>
      </c>
      <c r="CF28" s="78"/>
      <c r="CG28" s="78" t="str">
        <f t="shared" si="12"/>
        <v>N/A</v>
      </c>
      <c r="CH28" s="78"/>
      <c r="CI28" s="78" t="str">
        <f t="shared" si="13"/>
        <v>N/A</v>
      </c>
      <c r="CJ28" s="78"/>
      <c r="CK28" s="78" t="str">
        <f t="shared" si="14"/>
        <v>N/A</v>
      </c>
      <c r="CL28" s="78"/>
      <c r="CM28" s="78" t="str">
        <f t="shared" si="0"/>
        <v>N/A</v>
      </c>
      <c r="CN28" s="78"/>
      <c r="CO28" s="78" t="str">
        <f t="shared" si="15"/>
        <v>N/A</v>
      </c>
      <c r="CP28" s="78"/>
      <c r="CQ28" s="78" t="str">
        <f t="shared" si="16"/>
        <v>N/A</v>
      </c>
      <c r="CR28" s="78"/>
      <c r="CS28" s="78" t="str">
        <f t="shared" si="1"/>
        <v>N/A</v>
      </c>
      <c r="CT28" s="78"/>
    </row>
    <row r="29" spans="1:98" s="625" customFormat="1" ht="14.85" customHeight="1" x14ac:dyDescent="0.2">
      <c r="A29" s="623"/>
      <c r="B29" s="358">
        <v>282</v>
      </c>
      <c r="C29" s="380">
        <v>20</v>
      </c>
      <c r="D29" s="359" t="s">
        <v>352</v>
      </c>
      <c r="E29" s="244" t="s">
        <v>302</v>
      </c>
      <c r="F29" s="582"/>
      <c r="G29" s="593"/>
      <c r="H29" s="582"/>
      <c r="I29" s="593"/>
      <c r="J29" s="582"/>
      <c r="K29" s="593"/>
      <c r="L29" s="582"/>
      <c r="M29" s="593"/>
      <c r="N29" s="582"/>
      <c r="O29" s="593"/>
      <c r="P29" s="582"/>
      <c r="Q29" s="593"/>
      <c r="R29" s="582"/>
      <c r="S29" s="593"/>
      <c r="T29" s="582"/>
      <c r="U29" s="593"/>
      <c r="V29" s="582"/>
      <c r="W29" s="593"/>
      <c r="X29" s="582"/>
      <c r="Y29" s="593"/>
      <c r="Z29" s="582"/>
      <c r="AA29" s="593"/>
      <c r="AB29" s="582"/>
      <c r="AC29" s="593"/>
      <c r="AD29" s="582"/>
      <c r="AE29" s="593"/>
      <c r="AF29" s="582"/>
      <c r="AG29" s="593"/>
      <c r="AH29" s="582"/>
      <c r="AI29" s="593"/>
      <c r="AJ29" s="582"/>
      <c r="AK29" s="593"/>
      <c r="AL29" s="582"/>
      <c r="AM29" s="593"/>
      <c r="AN29" s="582"/>
      <c r="AO29" s="593"/>
      <c r="AP29" s="582"/>
      <c r="AQ29" s="593"/>
      <c r="AR29" s="582"/>
      <c r="AS29" s="593"/>
      <c r="AT29" s="582"/>
      <c r="AU29" s="593"/>
      <c r="AV29" s="582"/>
      <c r="AW29" s="593"/>
      <c r="AY29" s="626"/>
      <c r="AZ29" s="381">
        <v>20</v>
      </c>
      <c r="BA29" s="290" t="s">
        <v>70</v>
      </c>
      <c r="BB29" s="80" t="s">
        <v>468</v>
      </c>
      <c r="BC29" s="78" t="s">
        <v>471</v>
      </c>
      <c r="BD29" s="238"/>
      <c r="BE29" s="78" t="str">
        <f>IF(OR(ISBLANK(F29),ISBLANK(H29)),"N/A",IF(ABS((H29-F29)/F29)&gt;1,"&gt; 100%","ok"))</f>
        <v>N/A</v>
      </c>
      <c r="BF29" s="233"/>
      <c r="BG29" s="78" t="str">
        <f t="shared" si="21"/>
        <v>N/A</v>
      </c>
      <c r="BH29" s="78"/>
      <c r="BI29" s="78" t="str">
        <f t="shared" si="22"/>
        <v>N/A</v>
      </c>
      <c r="BJ29" s="78"/>
      <c r="BK29" s="78" t="str">
        <f t="shared" si="23"/>
        <v>N/A</v>
      </c>
      <c r="BL29" s="78"/>
      <c r="BM29" s="78" t="str">
        <f t="shared" si="24"/>
        <v>N/A</v>
      </c>
      <c r="BN29" s="78"/>
      <c r="BO29" s="78" t="str">
        <f>IF(OR(ISBLANK(P29),ISBLANK(R29)),"N/A",IF(ABS((R29-P29)/P29)&gt;0.25,"&gt; 25%","ok"))</f>
        <v>N/A</v>
      </c>
      <c r="BP29" s="78"/>
      <c r="BQ29" s="78" t="str">
        <f>IF(OR(ISBLANK(R29),ISBLANK(T29)),"N/A",IF(ABS((T29-R29)/R29)&gt;0.25,"&gt; 25%","ok"))</f>
        <v>N/A</v>
      </c>
      <c r="BR29" s="78"/>
      <c r="BS29" s="78" t="str">
        <f>IF(OR(ISBLANK(T29),ISBLANK(V29)),"N/A",IF(ABS((V29-T29)/T29)&gt;0.25,"&gt; 25%","ok"))</f>
        <v>N/A</v>
      </c>
      <c r="BT29" s="78"/>
      <c r="BU29" s="78" t="str">
        <f>IF(OR(ISBLANK(V29),ISBLANK(X29)),"N/A",IF(ABS((X29-V29)/V29)&gt;0.25,"&gt; 25%","ok"))</f>
        <v>N/A</v>
      </c>
      <c r="BV29" s="78"/>
      <c r="BW29" s="78" t="str">
        <f>IF(OR(ISBLANK(X29),ISBLANK(Z29)),"N/A",IF(ABS((Z29-X29)/X29)&gt;0.25,"&gt; 25%","ok"))</f>
        <v>N/A</v>
      </c>
      <c r="BX29" s="78"/>
      <c r="BY29" s="78" t="str">
        <f>IF(OR(ISBLANK(Z29),ISBLANK(AB29)),"N/A",IF(ABS((AB29-Z29)/Z29)&gt;0.25,"&gt; 25%","ok"))</f>
        <v>N/A</v>
      </c>
      <c r="BZ29" s="78"/>
      <c r="CA29" s="78" t="str">
        <f>IF(OR(ISBLANK(AB29),ISBLANK(AD29)),"N/A",IF(ABS((AD29-AB29)/AB29)&gt;0.25,"&gt; 25%","ok"))</f>
        <v>N/A</v>
      </c>
      <c r="CB29" s="78"/>
      <c r="CC29" s="78" t="str">
        <f>IF(OR(ISBLANK(AD29),ISBLANK(AF29)),"N/A",IF(ABS((AF29-AD29)/AD29)&gt;0.25,"&gt; 25%","ok"))</f>
        <v>N/A</v>
      </c>
      <c r="CD29" s="78"/>
      <c r="CE29" s="78" t="str">
        <f>IF(OR(ISBLANK(AF29),ISBLANK(AH29)),"N/A",IF(ABS((AH29-AF29)/AF29)&gt;0.25,"&gt; 25%","ok"))</f>
        <v>N/A</v>
      </c>
      <c r="CF29" s="78"/>
      <c r="CG29" s="78" t="str">
        <f>IF(OR(ISBLANK(AH29),ISBLANK(AJ29)),"N/A",IF(ABS((AJ29-AH29)/AH29)&gt;0.25,"&gt; 25%","ok"))</f>
        <v>N/A</v>
      </c>
      <c r="CH29" s="78"/>
      <c r="CI29" s="78" t="str">
        <f>IF(OR(ISBLANK(AJ29),ISBLANK(AL29)),"N/A",IF(ABS((AL29-AJ29)/AJ29)&gt;0.25,"&gt; 25%","ok"))</f>
        <v>N/A</v>
      </c>
      <c r="CJ29" s="78"/>
      <c r="CK29" s="78" t="str">
        <f>IF(OR(ISBLANK(AL29),ISBLANK(AN29)),"N/A",IF(ABS((AN29-AL29)/AL29)&gt;0.25,"&gt; 25%","ok"))</f>
        <v>N/A</v>
      </c>
      <c r="CL29" s="78"/>
      <c r="CM29" s="78" t="str">
        <f>IF(OR(ISBLANK(AN29),ISBLANK(AP29)),"N/A",IF(ABS((AP29-AN29)/AN29)&gt;0.25,"&gt; 25%","ok"))</f>
        <v>N/A</v>
      </c>
      <c r="CN29" s="78"/>
      <c r="CO29" s="78" t="str">
        <f>IF(OR(ISBLANK(AP29),ISBLANK(AR29)),"N/A",IF(ABS((AR29-AP29)/AP29)&gt;0.25,"&gt; 25%","ok"))</f>
        <v>N/A</v>
      </c>
      <c r="CP29" s="78"/>
      <c r="CQ29" s="78" t="str">
        <f>IF(OR(ISBLANK(AR29),ISBLANK(AT29)),"N/A",IF(ABS((AT29-AR29)/AR29)&gt;0.25,"&gt; 25%","ok"))</f>
        <v>N/A</v>
      </c>
      <c r="CR29" s="78"/>
      <c r="CS29" s="78" t="str">
        <f>IF(OR(ISBLANK(AT29),ISBLANK(AV29)),"N/A",IF(ABS((AV29-AT29)/AT29)&gt;0.25,"&gt; 25%","ok"))</f>
        <v>N/A</v>
      </c>
      <c r="CT29" s="78"/>
    </row>
    <row r="30" spans="1:98" s="625" customFormat="1" ht="14.85" customHeight="1" x14ac:dyDescent="0.2">
      <c r="A30" s="623"/>
      <c r="B30" s="358">
        <v>283</v>
      </c>
      <c r="C30" s="380">
        <v>21</v>
      </c>
      <c r="D30" s="359" t="s">
        <v>325</v>
      </c>
      <c r="E30" s="244" t="s">
        <v>302</v>
      </c>
      <c r="F30" s="605"/>
      <c r="G30" s="593"/>
      <c r="H30" s="605"/>
      <c r="I30" s="593"/>
      <c r="J30" s="605"/>
      <c r="K30" s="593"/>
      <c r="L30" s="605"/>
      <c r="M30" s="593"/>
      <c r="N30" s="605"/>
      <c r="O30" s="593"/>
      <c r="P30" s="605"/>
      <c r="Q30" s="593"/>
      <c r="R30" s="605">
        <v>4069</v>
      </c>
      <c r="S30" s="593"/>
      <c r="T30" s="605"/>
      <c r="U30" s="593"/>
      <c r="V30" s="605"/>
      <c r="W30" s="593"/>
      <c r="X30" s="605"/>
      <c r="Y30" s="593"/>
      <c r="Z30" s="605"/>
      <c r="AA30" s="593"/>
      <c r="AB30" s="605"/>
      <c r="AC30" s="593"/>
      <c r="AD30" s="605"/>
      <c r="AE30" s="593"/>
      <c r="AF30" s="605"/>
      <c r="AG30" s="593"/>
      <c r="AH30" s="605"/>
      <c r="AI30" s="593"/>
      <c r="AJ30" s="605"/>
      <c r="AK30" s="593"/>
      <c r="AL30" s="605"/>
      <c r="AM30" s="593"/>
      <c r="AN30" s="605"/>
      <c r="AO30" s="593"/>
      <c r="AP30" s="605"/>
      <c r="AQ30" s="593"/>
      <c r="AR30" s="605"/>
      <c r="AS30" s="593"/>
      <c r="AT30" s="605"/>
      <c r="AU30" s="593"/>
      <c r="AV30" s="605"/>
      <c r="AW30" s="593"/>
      <c r="AY30" s="626"/>
      <c r="AZ30" s="381">
        <v>21</v>
      </c>
      <c r="BA30" s="290" t="s">
        <v>71</v>
      </c>
      <c r="BB30" s="80" t="s">
        <v>468</v>
      </c>
      <c r="BC30" s="78" t="s">
        <v>471</v>
      </c>
      <c r="BD30" s="238"/>
      <c r="BE30" s="78" t="str">
        <f>IF(OR(ISBLANK(F30),ISBLANK(H30)),"N/A",IF(ABS((H30-F30)/F30)&gt;1,"&gt; 100%","ok"))</f>
        <v>N/A</v>
      </c>
      <c r="BF30" s="233"/>
      <c r="BG30" s="78" t="str">
        <f t="shared" si="21"/>
        <v>N/A</v>
      </c>
      <c r="BH30" s="78"/>
      <c r="BI30" s="78" t="str">
        <f t="shared" si="22"/>
        <v>N/A</v>
      </c>
      <c r="BJ30" s="78"/>
      <c r="BK30" s="78" t="str">
        <f t="shared" si="23"/>
        <v>N/A</v>
      </c>
      <c r="BL30" s="78"/>
      <c r="BM30" s="78" t="str">
        <f t="shared" si="24"/>
        <v>N/A</v>
      </c>
      <c r="BN30" s="78"/>
      <c r="BO30" s="78" t="str">
        <f>IF(OR(ISBLANK(P30),ISBLANK(R30)),"N/A",IF(ABS((R30-P30)/P30)&gt;0.25,"&gt; 25%","ok"))</f>
        <v>N/A</v>
      </c>
      <c r="BP30" s="78"/>
      <c r="BQ30" s="78" t="str">
        <f>IF(OR(ISBLANK(R30),ISBLANK(T30)),"N/A",IF(ABS((T30-R30)/R30)&gt;0.25,"&gt; 25%","ok"))</f>
        <v>N/A</v>
      </c>
      <c r="BR30" s="78"/>
      <c r="BS30" s="78" t="str">
        <f>IF(OR(ISBLANK(T30),ISBLANK(V30)),"N/A",IF(ABS((V30-T30)/T30)&gt;0.25,"&gt; 25%","ok"))</f>
        <v>N/A</v>
      </c>
      <c r="BT30" s="78"/>
      <c r="BU30" s="78" t="str">
        <f>IF(OR(ISBLANK(V30),ISBLANK(X30)),"N/A",IF(ABS((X30-V30)/V30)&gt;0.25,"&gt; 25%","ok"))</f>
        <v>N/A</v>
      </c>
      <c r="BV30" s="78"/>
      <c r="BW30" s="78" t="str">
        <f>IF(OR(ISBLANK(X30),ISBLANK(Z30)),"N/A",IF(ABS((Z30-X30)/X30)&gt;0.25,"&gt; 25%","ok"))</f>
        <v>N/A</v>
      </c>
      <c r="BX30" s="78"/>
      <c r="BY30" s="78" t="str">
        <f>IF(OR(ISBLANK(Z30),ISBLANK(AB30)),"N/A",IF(ABS((AB30-Z30)/Z30)&gt;0.25,"&gt; 25%","ok"))</f>
        <v>N/A</v>
      </c>
      <c r="BZ30" s="78"/>
      <c r="CA30" s="78" t="str">
        <f>IF(OR(ISBLANK(AB30),ISBLANK(AD30)),"N/A",IF(ABS((AD30-AB30)/AB30)&gt;0.25,"&gt; 25%","ok"))</f>
        <v>N/A</v>
      </c>
      <c r="CB30" s="78"/>
      <c r="CC30" s="78" t="str">
        <f>IF(OR(ISBLANK(AD30),ISBLANK(AF30)),"N/A",IF(ABS((AF30-AD30)/AD30)&gt;0.25,"&gt; 25%","ok"))</f>
        <v>N/A</v>
      </c>
      <c r="CD30" s="78"/>
      <c r="CE30" s="78" t="str">
        <f>IF(OR(ISBLANK(AF30),ISBLANK(AH30)),"N/A",IF(ABS((AH30-AF30)/AF30)&gt;0.25,"&gt; 25%","ok"))</f>
        <v>N/A</v>
      </c>
      <c r="CF30" s="78"/>
      <c r="CG30" s="78" t="str">
        <f>IF(OR(ISBLANK(AH30),ISBLANK(AJ30)),"N/A",IF(ABS((AJ30-AH30)/AH30)&gt;0.25,"&gt; 25%","ok"))</f>
        <v>N/A</v>
      </c>
      <c r="CH30" s="78"/>
      <c r="CI30" s="78" t="str">
        <f>IF(OR(ISBLANK(AJ30),ISBLANK(AL30)),"N/A",IF(ABS((AL30-AJ30)/AJ30)&gt;0.25,"&gt; 25%","ok"))</f>
        <v>N/A</v>
      </c>
      <c r="CJ30" s="78"/>
      <c r="CK30" s="78" t="str">
        <f>IF(OR(ISBLANK(AL30),ISBLANK(AN30)),"N/A",IF(ABS((AN30-AL30)/AL30)&gt;0.25,"&gt; 25%","ok"))</f>
        <v>N/A</v>
      </c>
      <c r="CL30" s="78"/>
      <c r="CM30" s="78" t="str">
        <f>IF(OR(ISBLANK(AN30),ISBLANK(AP30)),"N/A",IF(ABS((AP30-AN30)/AN30)&gt;0.25,"&gt; 25%","ok"))</f>
        <v>N/A</v>
      </c>
      <c r="CN30" s="78"/>
      <c r="CO30" s="78" t="str">
        <f>IF(OR(ISBLANK(AP30),ISBLANK(AR30)),"N/A",IF(ABS((AR30-AP30)/AP30)&gt;0.25,"&gt; 25%","ok"))</f>
        <v>N/A</v>
      </c>
      <c r="CP30" s="78"/>
      <c r="CQ30" s="78" t="str">
        <f>IF(OR(ISBLANK(AR30),ISBLANK(AT30)),"N/A",IF(ABS((AT30-AR30)/AR30)&gt;0.25,"&gt; 25%","ok"))</f>
        <v>N/A</v>
      </c>
      <c r="CR30" s="78"/>
      <c r="CS30" s="78" t="str">
        <f>IF(OR(ISBLANK(AT30),ISBLANK(AV30)),"N/A",IF(ABS((AV30-AT30)/AT30)&gt;0.25,"&gt; 25%","ok"))</f>
        <v>N/A</v>
      </c>
      <c r="CT30" s="78"/>
    </row>
    <row r="31" spans="1:98" s="625" customFormat="1" ht="14.85" customHeight="1" x14ac:dyDescent="0.2">
      <c r="A31" s="623"/>
      <c r="B31" s="358">
        <v>284</v>
      </c>
      <c r="C31" s="382">
        <v>22</v>
      </c>
      <c r="D31" s="255" t="s">
        <v>322</v>
      </c>
      <c r="E31" s="383" t="s">
        <v>302</v>
      </c>
      <c r="F31" s="606"/>
      <c r="G31" s="595"/>
      <c r="H31" s="606"/>
      <c r="I31" s="595"/>
      <c r="J31" s="606"/>
      <c r="K31" s="595"/>
      <c r="L31" s="606"/>
      <c r="M31" s="595"/>
      <c r="N31" s="606"/>
      <c r="O31" s="595"/>
      <c r="P31" s="606"/>
      <c r="Q31" s="595"/>
      <c r="R31" s="606"/>
      <c r="S31" s="595"/>
      <c r="T31" s="606"/>
      <c r="U31" s="595"/>
      <c r="V31" s="606"/>
      <c r="W31" s="595"/>
      <c r="X31" s="606"/>
      <c r="Y31" s="595"/>
      <c r="Z31" s="606"/>
      <c r="AA31" s="595"/>
      <c r="AB31" s="606"/>
      <c r="AC31" s="595"/>
      <c r="AD31" s="606"/>
      <c r="AE31" s="595"/>
      <c r="AF31" s="606"/>
      <c r="AG31" s="595"/>
      <c r="AH31" s="606"/>
      <c r="AI31" s="595"/>
      <c r="AJ31" s="606"/>
      <c r="AK31" s="595"/>
      <c r="AL31" s="606"/>
      <c r="AM31" s="595"/>
      <c r="AN31" s="606"/>
      <c r="AO31" s="595"/>
      <c r="AP31" s="606"/>
      <c r="AQ31" s="595"/>
      <c r="AR31" s="606"/>
      <c r="AS31" s="595"/>
      <c r="AT31" s="606"/>
      <c r="AU31" s="595"/>
      <c r="AV31" s="606"/>
      <c r="AW31" s="595"/>
      <c r="AY31" s="626"/>
      <c r="AZ31" s="381">
        <v>22</v>
      </c>
      <c r="BA31" s="237" t="s">
        <v>72</v>
      </c>
      <c r="BB31" s="80" t="s">
        <v>468</v>
      </c>
      <c r="BC31" s="78" t="s">
        <v>471</v>
      </c>
      <c r="BD31" s="238"/>
      <c r="BE31" s="78" t="str">
        <f>IF(OR(ISBLANK(F31),ISBLANK(H31)),"N/A",IF(ABS((H31-F31)/F31)&gt;1,"&gt; 100%","ok"))</f>
        <v>N/A</v>
      </c>
      <c r="BF31" s="233"/>
      <c r="BG31" s="78" t="str">
        <f t="shared" si="21"/>
        <v>N/A</v>
      </c>
      <c r="BH31" s="78"/>
      <c r="BI31" s="78" t="str">
        <f t="shared" si="22"/>
        <v>N/A</v>
      </c>
      <c r="BJ31" s="78"/>
      <c r="BK31" s="78" t="str">
        <f t="shared" si="23"/>
        <v>N/A</v>
      </c>
      <c r="BL31" s="78"/>
      <c r="BM31" s="78" t="str">
        <f t="shared" si="24"/>
        <v>N/A</v>
      </c>
      <c r="BN31" s="78"/>
      <c r="BO31" s="78" t="str">
        <f>IF(OR(ISBLANK(P31),ISBLANK(R31)),"N/A",IF(ABS((R31-P31)/P31)&gt;0.25,"&gt; 25%","ok"))</f>
        <v>N/A</v>
      </c>
      <c r="BP31" s="78"/>
      <c r="BQ31" s="78" t="str">
        <f>IF(OR(ISBLANK(R31),ISBLANK(T31)),"N/A",IF(ABS((T31-R31)/R31)&gt;0.25,"&gt; 25%","ok"))</f>
        <v>N/A</v>
      </c>
      <c r="BR31" s="78"/>
      <c r="BS31" s="78" t="str">
        <f>IF(OR(ISBLANK(T31),ISBLANK(V31)),"N/A",IF(ABS((V31-T31)/T31)&gt;0.25,"&gt; 25%","ok"))</f>
        <v>N/A</v>
      </c>
      <c r="BT31" s="78"/>
      <c r="BU31" s="78" t="str">
        <f>IF(OR(ISBLANK(V31),ISBLANK(X31)),"N/A",IF(ABS((X31-V31)/V31)&gt;0.25,"&gt; 25%","ok"))</f>
        <v>N/A</v>
      </c>
      <c r="BV31" s="78"/>
      <c r="BW31" s="78" t="str">
        <f>IF(OR(ISBLANK(X31),ISBLANK(Z31)),"N/A",IF(ABS((Z31-X31)/X31)&gt;0.25,"&gt; 25%","ok"))</f>
        <v>N/A</v>
      </c>
      <c r="BX31" s="78"/>
      <c r="BY31" s="78" t="str">
        <f>IF(OR(ISBLANK(Z31),ISBLANK(AB31)),"N/A",IF(ABS((AB31-Z31)/Z31)&gt;0.25,"&gt; 25%","ok"))</f>
        <v>N/A</v>
      </c>
      <c r="BZ31" s="78"/>
      <c r="CA31" s="78" t="str">
        <f>IF(OR(ISBLANK(AB31),ISBLANK(AD31)),"N/A",IF(ABS((AD31-AB31)/AB31)&gt;0.25,"&gt; 25%","ok"))</f>
        <v>N/A</v>
      </c>
      <c r="CB31" s="78"/>
      <c r="CC31" s="78" t="str">
        <f>IF(OR(ISBLANK(AD31),ISBLANK(AF31)),"N/A",IF(ABS((AF31-AD31)/AD31)&gt;0.25,"&gt; 25%","ok"))</f>
        <v>N/A</v>
      </c>
      <c r="CD31" s="78"/>
      <c r="CE31" s="78" t="str">
        <f>IF(OR(ISBLANK(AF31),ISBLANK(AH31)),"N/A",IF(ABS((AH31-AF31)/AF31)&gt;0.25,"&gt; 25%","ok"))</f>
        <v>N/A</v>
      </c>
      <c r="CF31" s="78"/>
      <c r="CG31" s="78" t="str">
        <f>IF(OR(ISBLANK(AH31),ISBLANK(AJ31)),"N/A",IF(ABS((AJ31-AH31)/AH31)&gt;0.25,"&gt; 25%","ok"))</f>
        <v>N/A</v>
      </c>
      <c r="CH31" s="78"/>
      <c r="CI31" s="78" t="str">
        <f>IF(OR(ISBLANK(AJ31),ISBLANK(AL31)),"N/A",IF(ABS((AL31-AJ31)/AJ31)&gt;0.25,"&gt; 25%","ok"))</f>
        <v>N/A</v>
      </c>
      <c r="CJ31" s="78"/>
      <c r="CK31" s="78" t="str">
        <f>IF(OR(ISBLANK(AL31),ISBLANK(AN31)),"N/A",IF(ABS((AN31-AL31)/AL31)&gt;0.25,"&gt; 25%","ok"))</f>
        <v>N/A</v>
      </c>
      <c r="CL31" s="78"/>
      <c r="CM31" s="78" t="str">
        <f>IF(OR(ISBLANK(AN31),ISBLANK(AP31)),"N/A",IF(ABS((AP31-AN31)/AN31)&gt;0.25,"&gt; 25%","ok"))</f>
        <v>N/A</v>
      </c>
      <c r="CN31" s="78"/>
      <c r="CO31" s="78" t="str">
        <f>IF(OR(ISBLANK(AP31),ISBLANK(AR31)),"N/A",IF(ABS((AR31-AP31)/AP31)&gt;0.25,"&gt; 25%","ok"))</f>
        <v>N/A</v>
      </c>
      <c r="CP31" s="78"/>
      <c r="CQ31" s="78" t="str">
        <f>IF(OR(ISBLANK(AR31),ISBLANK(AT31)),"N/A",IF(ABS((AT31-AR31)/AR31)&gt;0.25,"&gt; 25%","ok"))</f>
        <v>N/A</v>
      </c>
      <c r="CR31" s="78"/>
      <c r="CS31" s="78" t="str">
        <f>IF(OR(ISBLANK(AT31),ISBLANK(AV31)),"N/A",IF(ABS((AV31-AT31)/AT31)&gt;0.25,"&gt; 25%","ok"))</f>
        <v>N/A</v>
      </c>
      <c r="CT31" s="78"/>
    </row>
    <row r="32" spans="1:98" ht="13.5" customHeight="1" x14ac:dyDescent="0.2">
      <c r="C32" s="347" t="s">
        <v>602</v>
      </c>
      <c r="D32" s="258"/>
      <c r="E32" s="384"/>
      <c r="F32" s="385"/>
      <c r="AZ32" s="357" t="s">
        <v>630</v>
      </c>
      <c r="BA32" s="612"/>
      <c r="BB32" s="612"/>
      <c r="BC32" s="612"/>
      <c r="BD32" s="612"/>
      <c r="BE32" s="612"/>
      <c r="BF32" s="612"/>
      <c r="BG32" s="612"/>
      <c r="BH32" s="612"/>
      <c r="BI32" s="612"/>
      <c r="BJ32" s="612"/>
      <c r="BK32" s="612"/>
      <c r="BL32" s="612"/>
      <c r="BM32" s="612"/>
      <c r="BN32" s="612"/>
      <c r="BO32" s="612"/>
      <c r="BP32" s="612"/>
      <c r="BQ32" s="612"/>
      <c r="BR32" s="612"/>
      <c r="BS32" s="612"/>
      <c r="BT32" s="612"/>
      <c r="BU32" s="612"/>
      <c r="BV32" s="612"/>
      <c r="BW32" s="612"/>
      <c r="BX32" s="612"/>
      <c r="BY32" s="612"/>
      <c r="BZ32" s="612"/>
      <c r="CA32" s="612"/>
      <c r="CB32" s="612"/>
      <c r="CC32" s="612"/>
      <c r="CD32" s="612"/>
      <c r="CE32" s="612"/>
      <c r="CF32" s="612"/>
      <c r="CG32" s="612"/>
      <c r="CH32" s="612"/>
      <c r="CI32" s="612"/>
      <c r="CJ32" s="612"/>
      <c r="CK32" s="612"/>
      <c r="CL32" s="612"/>
      <c r="CM32" s="612"/>
      <c r="CN32" s="612"/>
      <c r="CO32" s="612"/>
      <c r="CP32" s="612"/>
      <c r="CQ32" s="612"/>
      <c r="CR32" s="612"/>
      <c r="CS32" s="612"/>
    </row>
    <row r="33" spans="1:112" ht="24.75" customHeight="1" x14ac:dyDescent="0.2">
      <c r="C33" s="273" t="s">
        <v>490</v>
      </c>
      <c r="D33" s="730" t="s">
        <v>312</v>
      </c>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0"/>
      <c r="AR33" s="730"/>
      <c r="AS33" s="730"/>
      <c r="AT33" s="730"/>
      <c r="AU33" s="730"/>
      <c r="AV33" s="730"/>
      <c r="AW33" s="730"/>
      <c r="AX33" s="730"/>
      <c r="AZ33" s="218" t="s">
        <v>600</v>
      </c>
      <c r="BA33" s="218" t="s">
        <v>601</v>
      </c>
      <c r="BB33" s="218" t="s">
        <v>603</v>
      </c>
      <c r="BC33" s="617">
        <v>1990</v>
      </c>
      <c r="BD33" s="618"/>
      <c r="BE33" s="617">
        <v>1995</v>
      </c>
      <c r="BF33" s="618"/>
      <c r="BG33" s="617">
        <v>1996</v>
      </c>
      <c r="BH33" s="618"/>
      <c r="BI33" s="617">
        <v>1997</v>
      </c>
      <c r="BJ33" s="618"/>
      <c r="BK33" s="617">
        <v>1998</v>
      </c>
      <c r="BL33" s="618"/>
      <c r="BM33" s="617">
        <v>1999</v>
      </c>
      <c r="BN33" s="618"/>
      <c r="BO33" s="617">
        <v>2000</v>
      </c>
      <c r="BP33" s="618"/>
      <c r="BQ33" s="617">
        <v>2001</v>
      </c>
      <c r="BR33" s="618"/>
      <c r="BS33" s="617">
        <v>2002</v>
      </c>
      <c r="BT33" s="618"/>
      <c r="BU33" s="617">
        <v>2003</v>
      </c>
      <c r="BV33" s="618"/>
      <c r="BW33" s="617">
        <v>2004</v>
      </c>
      <c r="BX33" s="618"/>
      <c r="BY33" s="617">
        <v>2005</v>
      </c>
      <c r="BZ33" s="618"/>
      <c r="CA33" s="617">
        <v>2006</v>
      </c>
      <c r="CB33" s="618"/>
      <c r="CC33" s="617">
        <v>2007</v>
      </c>
      <c r="CD33" s="618"/>
      <c r="CE33" s="617">
        <v>2008</v>
      </c>
      <c r="CF33" s="618"/>
      <c r="CG33" s="617">
        <v>2009</v>
      </c>
      <c r="CH33" s="618"/>
      <c r="CI33" s="617">
        <v>2010</v>
      </c>
      <c r="CJ33" s="618"/>
      <c r="CK33" s="617">
        <v>2011</v>
      </c>
      <c r="CL33" s="619"/>
      <c r="CM33" s="617">
        <v>2012</v>
      </c>
      <c r="CN33" s="618"/>
      <c r="CO33" s="617">
        <v>2013</v>
      </c>
      <c r="CP33" s="618"/>
      <c r="CQ33" s="617">
        <v>2014</v>
      </c>
      <c r="CR33" s="619"/>
      <c r="CS33" s="617">
        <v>2015</v>
      </c>
      <c r="CT33" s="219"/>
    </row>
    <row r="34" spans="1:112" ht="15" customHeight="1" x14ac:dyDescent="0.2">
      <c r="C34" s="273" t="s">
        <v>490</v>
      </c>
      <c r="D34" s="730" t="s">
        <v>313</v>
      </c>
      <c r="E34" s="730"/>
      <c r="F34" s="730"/>
      <c r="G34" s="730"/>
      <c r="H34" s="730"/>
      <c r="I34" s="730"/>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0"/>
      <c r="AZ34" s="366"/>
      <c r="BA34" s="386" t="s">
        <v>421</v>
      </c>
      <c r="BB34" s="366"/>
      <c r="BC34" s="81"/>
      <c r="BD34" s="238"/>
      <c r="BE34" s="81"/>
      <c r="BF34" s="238"/>
      <c r="BG34" s="81"/>
      <c r="BH34" s="238"/>
      <c r="BI34" s="81"/>
      <c r="BJ34" s="238"/>
      <c r="BK34" s="81"/>
      <c r="BL34" s="238"/>
      <c r="BM34" s="81"/>
      <c r="BN34" s="238"/>
      <c r="BO34" s="81"/>
      <c r="BP34" s="238"/>
      <c r="BQ34" s="81"/>
      <c r="BR34" s="238"/>
      <c r="BS34" s="80"/>
      <c r="BT34" s="238"/>
      <c r="BU34" s="80"/>
      <c r="BV34" s="238"/>
      <c r="BW34" s="80"/>
      <c r="BX34" s="238"/>
      <c r="BY34" s="80"/>
      <c r="BZ34" s="238"/>
      <c r="CA34" s="80"/>
      <c r="CB34" s="238"/>
      <c r="CC34" s="80"/>
      <c r="CD34" s="238"/>
      <c r="CE34" s="81"/>
      <c r="CF34" s="238"/>
      <c r="CG34" s="80"/>
      <c r="CH34" s="238"/>
      <c r="CI34" s="80"/>
      <c r="CJ34" s="238"/>
      <c r="CK34" s="80"/>
      <c r="CL34" s="238"/>
      <c r="CM34" s="80"/>
      <c r="CN34" s="238"/>
      <c r="CO34" s="80"/>
      <c r="CP34" s="238"/>
      <c r="CQ34" s="80"/>
      <c r="CR34" s="238"/>
      <c r="CS34" s="80"/>
      <c r="CT34" s="238"/>
    </row>
    <row r="35" spans="1:112" s="189" customFormat="1" ht="24.75" customHeight="1" x14ac:dyDescent="0.2">
      <c r="A35" s="275"/>
      <c r="B35" s="275"/>
      <c r="C35" s="273" t="s">
        <v>490</v>
      </c>
      <c r="D35" s="739" t="s">
        <v>181</v>
      </c>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387"/>
      <c r="AZ35" s="388">
        <v>3</v>
      </c>
      <c r="BA35" s="568" t="s">
        <v>483</v>
      </c>
      <c r="BB35" s="95" t="s">
        <v>468</v>
      </c>
      <c r="BC35" s="78">
        <f>F10</f>
        <v>0</v>
      </c>
      <c r="BD35" s="78"/>
      <c r="BE35" s="78">
        <f>H10</f>
        <v>0</v>
      </c>
      <c r="BF35" s="78"/>
      <c r="BG35" s="78">
        <f>J10</f>
        <v>0</v>
      </c>
      <c r="BH35" s="78"/>
      <c r="BI35" s="78">
        <f>L10</f>
        <v>0</v>
      </c>
      <c r="BJ35" s="78"/>
      <c r="BK35" s="78">
        <f>N10</f>
        <v>0</v>
      </c>
      <c r="BL35" s="78"/>
      <c r="BM35" s="78">
        <f>P10</f>
        <v>0</v>
      </c>
      <c r="BN35" s="78"/>
      <c r="BO35" s="78">
        <f>R10</f>
        <v>6103</v>
      </c>
      <c r="BP35" s="78"/>
      <c r="BQ35" s="78">
        <f>T10</f>
        <v>5839</v>
      </c>
      <c r="BR35" s="78"/>
      <c r="BS35" s="78">
        <f>V10</f>
        <v>6251</v>
      </c>
      <c r="BT35" s="78"/>
      <c r="BU35" s="78">
        <f>X10</f>
        <v>6555</v>
      </c>
      <c r="BV35" s="78"/>
      <c r="BW35" s="78">
        <f>Z10</f>
        <v>8213</v>
      </c>
      <c r="BX35" s="78"/>
      <c r="BY35" s="78">
        <f>AB10</f>
        <v>7498</v>
      </c>
      <c r="BZ35" s="78"/>
      <c r="CA35" s="78">
        <f>AD10</f>
        <v>8079</v>
      </c>
      <c r="CB35" s="78"/>
      <c r="CC35" s="78">
        <f>AF10</f>
        <v>7648</v>
      </c>
      <c r="CD35" s="78"/>
      <c r="CE35" s="78">
        <f>AH10</f>
        <v>7114</v>
      </c>
      <c r="CF35" s="78"/>
      <c r="CG35" s="78">
        <f>AJ10</f>
        <v>7672</v>
      </c>
      <c r="CH35" s="78"/>
      <c r="CI35" s="78">
        <f>AL10</f>
        <v>8430</v>
      </c>
      <c r="CJ35" s="78"/>
      <c r="CK35" s="78">
        <f>AN10</f>
        <v>0</v>
      </c>
      <c r="CL35" s="78"/>
      <c r="CM35" s="78">
        <f>AP10</f>
        <v>0</v>
      </c>
      <c r="CN35" s="78"/>
      <c r="CO35" s="78">
        <f>AR10</f>
        <v>0</v>
      </c>
      <c r="CP35" s="78"/>
      <c r="CQ35" s="78">
        <f>AT10</f>
        <v>0</v>
      </c>
      <c r="CR35" s="78"/>
      <c r="CS35" s="78">
        <f>AV10</f>
        <v>0</v>
      </c>
      <c r="CT35" s="233"/>
      <c r="CU35" s="276"/>
      <c r="CV35" s="276"/>
      <c r="CW35" s="276"/>
      <c r="CX35" s="276"/>
      <c r="CY35" s="276"/>
      <c r="CZ35" s="276"/>
      <c r="DA35" s="276"/>
      <c r="DB35" s="276"/>
      <c r="DC35" s="276"/>
      <c r="DD35" s="276"/>
      <c r="DE35" s="276"/>
      <c r="DF35" s="276"/>
      <c r="DG35" s="276"/>
      <c r="DH35" s="276"/>
    </row>
    <row r="36" spans="1:112" s="189" customFormat="1" ht="25.5" customHeight="1" x14ac:dyDescent="0.2">
      <c r="A36" s="275"/>
      <c r="B36" s="275"/>
      <c r="C36" s="273" t="s">
        <v>490</v>
      </c>
      <c r="D36" s="730" t="s">
        <v>536</v>
      </c>
      <c r="E36" s="730"/>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0"/>
      <c r="AY36" s="387"/>
      <c r="AZ36" s="299">
        <v>23</v>
      </c>
      <c r="BA36" s="389" t="s">
        <v>566</v>
      </c>
      <c r="BB36" s="95" t="s">
        <v>468</v>
      </c>
      <c r="BC36" s="81">
        <f>F8+F9</f>
        <v>3801</v>
      </c>
      <c r="BD36" s="81"/>
      <c r="BE36" s="81">
        <f>H8+H9</f>
        <v>3420</v>
      </c>
      <c r="BF36" s="81"/>
      <c r="BG36" s="81">
        <f>J8+J9</f>
        <v>4058</v>
      </c>
      <c r="BH36" s="81"/>
      <c r="BI36" s="81">
        <f>L8+L9</f>
        <v>3894</v>
      </c>
      <c r="BJ36" s="81"/>
      <c r="BK36" s="81">
        <f>N8+N9</f>
        <v>3609</v>
      </c>
      <c r="BL36" s="81"/>
      <c r="BM36" s="81">
        <f>P8+P9</f>
        <v>3870</v>
      </c>
      <c r="BN36" s="81"/>
      <c r="BO36" s="81">
        <f>R8+R9</f>
        <v>6103</v>
      </c>
      <c r="BP36" s="81"/>
      <c r="BQ36" s="81">
        <f>T8+T9</f>
        <v>5839</v>
      </c>
      <c r="BR36" s="81"/>
      <c r="BS36" s="81">
        <f>V8+V9</f>
        <v>6251</v>
      </c>
      <c r="BT36" s="81"/>
      <c r="BU36" s="81">
        <f>X8+X9</f>
        <v>6555</v>
      </c>
      <c r="BV36" s="81"/>
      <c r="BW36" s="81">
        <f>Z8+Z9</f>
        <v>8213</v>
      </c>
      <c r="BX36" s="81"/>
      <c r="BY36" s="81">
        <f>AB8+AB9</f>
        <v>7498</v>
      </c>
      <c r="BZ36" s="81"/>
      <c r="CA36" s="81">
        <f>AD8+AD9</f>
        <v>8079</v>
      </c>
      <c r="CB36" s="81"/>
      <c r="CC36" s="81">
        <f>AF8+AF9</f>
        <v>7648</v>
      </c>
      <c r="CD36" s="81"/>
      <c r="CE36" s="81">
        <f>AH8+AH9</f>
        <v>7114</v>
      </c>
      <c r="CF36" s="81"/>
      <c r="CG36" s="81">
        <f>AJ8+AJ9</f>
        <v>7672</v>
      </c>
      <c r="CH36" s="81"/>
      <c r="CI36" s="81">
        <f>AL8+AL9</f>
        <v>8430</v>
      </c>
      <c r="CJ36" s="81"/>
      <c r="CK36" s="81">
        <f>AN8+AN9</f>
        <v>4918</v>
      </c>
      <c r="CL36" s="81"/>
      <c r="CM36" s="81">
        <f>AP8+AP9</f>
        <v>3870</v>
      </c>
      <c r="CN36" s="81"/>
      <c r="CO36" s="81">
        <f>AR8+AR9</f>
        <v>0</v>
      </c>
      <c r="CP36" s="81"/>
      <c r="CQ36" s="81">
        <f>AT8+AT9</f>
        <v>5000</v>
      </c>
      <c r="CR36" s="81"/>
      <c r="CS36" s="81">
        <f>AV8+AV9</f>
        <v>5000</v>
      </c>
      <c r="CT36" s="238"/>
      <c r="CU36" s="276"/>
      <c r="CV36" s="276"/>
      <c r="CW36" s="276"/>
      <c r="CX36" s="276"/>
      <c r="CY36" s="276"/>
      <c r="CZ36" s="276"/>
      <c r="DA36" s="276"/>
      <c r="DB36" s="276"/>
      <c r="DC36" s="276"/>
      <c r="DD36" s="276"/>
      <c r="DE36" s="276"/>
      <c r="DF36" s="276"/>
      <c r="DG36" s="276"/>
      <c r="DH36" s="276"/>
    </row>
    <row r="37" spans="1:112" s="189" customFormat="1" ht="21.75" customHeight="1" x14ac:dyDescent="0.2">
      <c r="A37" s="275"/>
      <c r="B37" s="275"/>
      <c r="C37" s="273" t="s">
        <v>490</v>
      </c>
      <c r="D37" s="768" t="s">
        <v>626</v>
      </c>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387"/>
      <c r="AZ37" s="284" t="s">
        <v>494</v>
      </c>
      <c r="BA37" s="389" t="s">
        <v>567</v>
      </c>
      <c r="BB37" s="95"/>
      <c r="BC37" s="78" t="str">
        <f>IF(OR(ISBLANK(F8),ISBLANK(F9),ISBLANK(F10)),"N/A",IF((BC35=BC36),"ok","&lt;&gt;"))</f>
        <v>N/A</v>
      </c>
      <c r="BD37" s="78"/>
      <c r="BE37" s="78" t="str">
        <f>IF(OR(ISBLANK(H8),ISBLANK(H9),ISBLANK(H10)),"N/A",IF((BE35=BE36),"ok","&lt;&gt;"))</f>
        <v>N/A</v>
      </c>
      <c r="BF37" s="78"/>
      <c r="BG37" s="78" t="str">
        <f>IF(OR(ISBLANK(J8),ISBLANK(J9),ISBLANK(J10)),"N/A",IF((BG35=BG36),"ok","&lt;&gt;"))</f>
        <v>N/A</v>
      </c>
      <c r="BH37" s="78"/>
      <c r="BI37" s="78" t="str">
        <f>IF(OR(ISBLANK(L8),ISBLANK(L9),ISBLANK(L10)),"N/A",IF((BI35=BI36),"ok","&lt;&gt;"))</f>
        <v>N/A</v>
      </c>
      <c r="BJ37" s="78"/>
      <c r="BK37" s="78" t="str">
        <f>IF(OR(ISBLANK(N8),ISBLANK(N9),ISBLANK(N10)),"N/A",IF((BK35=BK36),"ok","&lt;&gt;"))</f>
        <v>N/A</v>
      </c>
      <c r="BL37" s="78"/>
      <c r="BM37" s="78" t="str">
        <f>IF(OR(ISBLANK(P8),ISBLANK(P9),ISBLANK(P10)),"N/A",IF((BM35=BM36),"ok","&lt;&gt;"))</f>
        <v>N/A</v>
      </c>
      <c r="BN37" s="78"/>
      <c r="BO37" s="78" t="str">
        <f>IF(OR(ISBLANK(R8),ISBLANK(R9),ISBLANK(R10)),"N/A",IF((BO35=BO36),"ok","&lt;&gt;"))</f>
        <v>ok</v>
      </c>
      <c r="BP37" s="78"/>
      <c r="BQ37" s="78" t="str">
        <f>IF(OR(ISBLANK(T8),ISBLANK(T9),ISBLANK(T10)),"N/A",IF((BQ35=BQ36),"ok","&lt;&gt;"))</f>
        <v>ok</v>
      </c>
      <c r="BR37" s="78"/>
      <c r="BS37" s="78" t="str">
        <f>IF(OR(ISBLANK(V8),ISBLANK(V9),ISBLANK(V10)),"N/A",IF((BS35=BS36),"ok","&lt;&gt;"))</f>
        <v>ok</v>
      </c>
      <c r="BT37" s="78"/>
      <c r="BU37" s="78" t="str">
        <f>IF(OR(ISBLANK(X8),ISBLANK(X9),ISBLANK(X10)),"N/A",IF((BU35=BU36),"ok","&lt;&gt;"))</f>
        <v>ok</v>
      </c>
      <c r="BV37" s="78"/>
      <c r="BW37" s="78" t="str">
        <f>IF(OR(ISBLANK(Z8),ISBLANK(Z9),ISBLANK(Z10)),"N/A",IF((BW35=BW36),"ok","&lt;&gt;"))</f>
        <v>ok</v>
      </c>
      <c r="BX37" s="78"/>
      <c r="BY37" s="78" t="str">
        <f>IF(OR(ISBLANK(AB8),ISBLANK(AB9),ISBLANK(AB10)),"N/A",IF((BY35=BY36),"ok","&lt;&gt;"))</f>
        <v>ok</v>
      </c>
      <c r="BZ37" s="78"/>
      <c r="CA37" s="78" t="str">
        <f>IF(OR(ISBLANK(AD8),ISBLANK(AD9),ISBLANK(AD10)),"N/A",IF((CA35=CA36),"ok","&lt;&gt;"))</f>
        <v>ok</v>
      </c>
      <c r="CB37" s="78"/>
      <c r="CC37" s="78" t="str">
        <f>IF(OR(ISBLANK(AF8),ISBLANK(AF9),ISBLANK(AF10)),"N/A",IF((CC35=CC36),"ok","&lt;&gt;"))</f>
        <v>ok</v>
      </c>
      <c r="CD37" s="78"/>
      <c r="CE37" s="78" t="str">
        <f>IF(OR(ISBLANK(AH8),ISBLANK(AH9),ISBLANK(AH10)),"N/A",IF((CE35=CE36),"ok","&lt;&gt;"))</f>
        <v>ok</v>
      </c>
      <c r="CF37" s="78"/>
      <c r="CG37" s="78" t="str">
        <f>IF(OR(ISBLANK(AJ8),ISBLANK(AJ9),ISBLANK(AJ10)),"N/A",IF((CG35=CG36),"ok","&lt;&gt;"))</f>
        <v>ok</v>
      </c>
      <c r="CH37" s="78"/>
      <c r="CI37" s="78" t="str">
        <f>IF(OR(ISBLANK(AL8),ISBLANK(AL9),ISBLANK(AL10)),"N/A",IF((CI35=CI36),"ok","&lt;&gt;"))</f>
        <v>ok</v>
      </c>
      <c r="CJ37" s="78"/>
      <c r="CK37" s="78" t="str">
        <f>IF(OR(ISBLANK(AN8),ISBLANK(AN9),ISBLANK(AN10)),"N/A",IF((CK35=CK36),"ok","&lt;&gt;"))</f>
        <v>N/A</v>
      </c>
      <c r="CL37" s="78"/>
      <c r="CM37" s="78" t="str">
        <f>IF(OR(ISBLANK(AP8),ISBLANK(AP9),ISBLANK(AP10)),"N/A",IF((CM35=CM36),"ok","&lt;&gt;"))</f>
        <v>N/A</v>
      </c>
      <c r="CN37" s="78"/>
      <c r="CO37" s="78" t="str">
        <f>IF(OR(ISBLANK(AR8),ISBLANK(AR9),ISBLANK(AR10)),"N/A",IF((CO35=CO36),"ok","&lt;&gt;"))</f>
        <v>N/A</v>
      </c>
      <c r="CP37" s="78"/>
      <c r="CQ37" s="78" t="str">
        <f>IF(OR(ISBLANK(AT8),ISBLANK(AT9),ISBLANK(AT10)),"N/A",IF((CQ35=CQ36),"ok","&lt;&gt;"))</f>
        <v>N/A</v>
      </c>
      <c r="CR37" s="78"/>
      <c r="CS37" s="78" t="str">
        <f>IF(OR(ISBLANK(AV8),ISBLANK(AV9),ISBLANK(AV10)),"N/A",IF((CS35=CS36),"ok","&lt;&gt;"))</f>
        <v>N/A</v>
      </c>
      <c r="CT37" s="233"/>
      <c r="CU37" s="276"/>
      <c r="CV37" s="276"/>
      <c r="CW37" s="276"/>
      <c r="CX37" s="276"/>
      <c r="CY37" s="276"/>
      <c r="CZ37" s="276"/>
      <c r="DA37" s="276"/>
      <c r="DB37" s="276"/>
      <c r="DC37" s="276"/>
      <c r="DD37" s="276"/>
      <c r="DE37" s="276"/>
      <c r="DF37" s="276"/>
      <c r="DG37" s="276"/>
      <c r="DH37" s="276"/>
    </row>
    <row r="38" spans="1:112" s="625" customFormat="1" ht="20.100000000000001" customHeight="1" x14ac:dyDescent="0.2">
      <c r="A38" s="623"/>
      <c r="B38" s="176"/>
      <c r="C38" s="644"/>
      <c r="D38" s="291"/>
      <c r="E38" s="772" t="str">
        <f>LEFT(D10,LEN(D10)-7)&amp;" (W2,3)"</f>
        <v>Volume d’eau douce prélevé (W2,3)</v>
      </c>
      <c r="F38" s="773"/>
      <c r="G38" s="773"/>
      <c r="H38" s="773"/>
      <c r="I38" s="773"/>
      <c r="J38" s="773"/>
      <c r="K38" s="773"/>
      <c r="L38" s="773"/>
      <c r="M38" s="773"/>
      <c r="N38" s="773"/>
      <c r="O38" s="773"/>
      <c r="P38" s="773"/>
      <c r="Q38" s="773"/>
      <c r="R38" s="773"/>
      <c r="S38" s="773"/>
      <c r="T38" s="773"/>
      <c r="U38" s="773"/>
      <c r="V38" s="773"/>
      <c r="W38" s="773"/>
      <c r="X38" s="773"/>
      <c r="Y38" s="773"/>
      <c r="Z38" s="773"/>
      <c r="AA38" s="773"/>
      <c r="AB38" s="773"/>
      <c r="AC38" s="552"/>
      <c r="AD38" s="291"/>
      <c r="AE38" s="553"/>
      <c r="AF38" s="553"/>
      <c r="AG38" s="553"/>
      <c r="AH38" s="553"/>
      <c r="AI38" s="553"/>
      <c r="AJ38" s="553"/>
      <c r="AK38" s="553"/>
      <c r="AL38" s="553"/>
      <c r="AM38" s="553"/>
      <c r="AN38" s="553"/>
      <c r="AO38" s="553"/>
      <c r="AP38" s="553"/>
      <c r="AQ38" s="774"/>
      <c r="AR38" s="774"/>
      <c r="AS38" s="774"/>
      <c r="AT38" s="774"/>
      <c r="AU38" s="774"/>
      <c r="AV38" s="774"/>
      <c r="AW38" s="553"/>
      <c r="AX38" s="189"/>
      <c r="AY38" s="626"/>
      <c r="AZ38" s="366">
        <v>14</v>
      </c>
      <c r="BA38" s="456" t="s">
        <v>125</v>
      </c>
      <c r="BB38" s="95" t="s">
        <v>468</v>
      </c>
      <c r="BC38" s="81">
        <f>F22</f>
        <v>0</v>
      </c>
      <c r="BD38" s="81"/>
      <c r="BE38" s="81">
        <f>H22</f>
        <v>0</v>
      </c>
      <c r="BF38" s="81"/>
      <c r="BG38" s="81">
        <f>J22</f>
        <v>0</v>
      </c>
      <c r="BH38" s="81"/>
      <c r="BI38" s="81">
        <f>L22</f>
        <v>0</v>
      </c>
      <c r="BJ38" s="81"/>
      <c r="BK38" s="81">
        <f>N22</f>
        <v>0</v>
      </c>
      <c r="BL38" s="81"/>
      <c r="BM38" s="81">
        <f>P22</f>
        <v>0</v>
      </c>
      <c r="BN38" s="81"/>
      <c r="BO38" s="81">
        <f>R22</f>
        <v>0</v>
      </c>
      <c r="BP38" s="81"/>
      <c r="BQ38" s="81">
        <f>T22</f>
        <v>0</v>
      </c>
      <c r="BR38" s="81"/>
      <c r="BS38" s="81">
        <f>V22</f>
        <v>0</v>
      </c>
      <c r="BT38" s="81"/>
      <c r="BU38" s="81">
        <f>X22</f>
        <v>0</v>
      </c>
      <c r="BV38" s="81"/>
      <c r="BW38" s="81">
        <f>Z22</f>
        <v>0</v>
      </c>
      <c r="BX38" s="81"/>
      <c r="BY38" s="81">
        <f>AB22</f>
        <v>0</v>
      </c>
      <c r="BZ38" s="81"/>
      <c r="CA38" s="81">
        <f>AD22</f>
        <v>0</v>
      </c>
      <c r="CB38" s="81"/>
      <c r="CC38" s="81">
        <f>AF22</f>
        <v>0</v>
      </c>
      <c r="CD38" s="81"/>
      <c r="CE38" s="81">
        <f>AH22</f>
        <v>0</v>
      </c>
      <c r="CF38" s="81"/>
      <c r="CG38" s="81">
        <f>AJ22</f>
        <v>0</v>
      </c>
      <c r="CH38" s="81"/>
      <c r="CI38" s="81">
        <f>AL22</f>
        <v>0</v>
      </c>
      <c r="CJ38" s="81"/>
      <c r="CK38" s="81">
        <f>AN22</f>
        <v>0</v>
      </c>
      <c r="CL38" s="81"/>
      <c r="CM38" s="81">
        <f>AP22</f>
        <v>0</v>
      </c>
      <c r="CN38" s="81"/>
      <c r="CO38" s="81">
        <f>AR22</f>
        <v>0</v>
      </c>
      <c r="CP38" s="81"/>
      <c r="CQ38" s="81">
        <f>AT22</f>
        <v>0</v>
      </c>
      <c r="CR38" s="81"/>
      <c r="CS38" s="81">
        <f>AV22</f>
        <v>0</v>
      </c>
      <c r="CT38" s="238"/>
    </row>
    <row r="39" spans="1:112" ht="20.100000000000001" customHeight="1" x14ac:dyDescent="0.2">
      <c r="C39" s="644"/>
      <c r="D39" s="554" t="str">
        <f>D11</f>
        <v>Dont prélevés par :</v>
      </c>
      <c r="E39" s="555"/>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556"/>
      <c r="AD39" s="556"/>
      <c r="AE39" s="553"/>
      <c r="AF39" s="553"/>
      <c r="AG39" s="553"/>
      <c r="AH39" s="553"/>
      <c r="AI39" s="553"/>
      <c r="AJ39" s="553"/>
      <c r="AK39" s="553"/>
      <c r="AL39" s="553"/>
      <c r="AM39" s="553"/>
      <c r="AN39" s="553"/>
      <c r="AO39" s="553"/>
      <c r="AP39" s="557"/>
      <c r="AQ39" s="772" t="str">
        <f>D26&amp;" (W2,17)"</f>
        <v>Ménages (W2,17)</v>
      </c>
      <c r="AR39" s="773"/>
      <c r="AS39" s="773"/>
      <c r="AT39" s="773"/>
      <c r="AU39" s="773"/>
      <c r="AV39" s="773"/>
      <c r="AW39" s="775"/>
      <c r="AX39" s="776"/>
      <c r="AZ39" s="299">
        <v>24</v>
      </c>
      <c r="BA39" s="389" t="s">
        <v>568</v>
      </c>
      <c r="BB39" s="95" t="s">
        <v>468</v>
      </c>
      <c r="BC39" s="81">
        <f>F10+F18+F19+F20-F21</f>
        <v>0</v>
      </c>
      <c r="BD39" s="81"/>
      <c r="BE39" s="81">
        <f>H10+H18+H19+H20-H21</f>
        <v>0</v>
      </c>
      <c r="BF39" s="81"/>
      <c r="BG39" s="81">
        <f>J10+J18+J19+J20-J21</f>
        <v>0</v>
      </c>
      <c r="BH39" s="81"/>
      <c r="BI39" s="81">
        <f>L10+L18+L19+L20-L21</f>
        <v>0</v>
      </c>
      <c r="BJ39" s="81"/>
      <c r="BK39" s="81">
        <f>N10+N18+N19+N20-N21</f>
        <v>0</v>
      </c>
      <c r="BL39" s="81"/>
      <c r="BM39" s="81">
        <f>P10+P18+P19+P20-P21</f>
        <v>0</v>
      </c>
      <c r="BN39" s="81"/>
      <c r="BO39" s="81">
        <f>R10+R18+R19+R20-R21</f>
        <v>6106</v>
      </c>
      <c r="BP39" s="81"/>
      <c r="BQ39" s="81">
        <f>T10+T18+T19+T20-T21</f>
        <v>5842</v>
      </c>
      <c r="BR39" s="81"/>
      <c r="BS39" s="81">
        <f>V10+V18+V19+V20-V21</f>
        <v>6254</v>
      </c>
      <c r="BT39" s="81"/>
      <c r="BU39" s="81">
        <f>X10+X18+X19+X20-X21</f>
        <v>6558</v>
      </c>
      <c r="BV39" s="81"/>
      <c r="BW39" s="81">
        <f>Z10+Z18+Z19+Z20-Z21</f>
        <v>8216</v>
      </c>
      <c r="BX39" s="81"/>
      <c r="BY39" s="81">
        <f>AB10+AB18+AB19+AB20-AB21</f>
        <v>7502</v>
      </c>
      <c r="BZ39" s="81"/>
      <c r="CA39" s="81">
        <f>AD10+AD18+AD19+AD20-AD21</f>
        <v>8083</v>
      </c>
      <c r="CB39" s="81"/>
      <c r="CC39" s="81">
        <f>AF10+AF18+AF19+AF20-AF21</f>
        <v>7652</v>
      </c>
      <c r="CD39" s="81"/>
      <c r="CE39" s="81">
        <f>AH10+AH18+AH19+AH20-AH21</f>
        <v>7121</v>
      </c>
      <c r="CF39" s="81"/>
      <c r="CG39" s="81">
        <f>AJ10+AJ18+AJ19+AJ20-AJ21</f>
        <v>7679</v>
      </c>
      <c r="CH39" s="81"/>
      <c r="CI39" s="81">
        <f>AL10+AL18+AL19+AL20-AL21</f>
        <v>8436</v>
      </c>
      <c r="CJ39" s="81"/>
      <c r="CK39" s="81">
        <f>AN10+AN18+AN19+AN20-AN21</f>
        <v>8</v>
      </c>
      <c r="CL39" s="81"/>
      <c r="CM39" s="81">
        <f>AP10+AP18+AP19+AP20-AP21</f>
        <v>8</v>
      </c>
      <c r="CN39" s="81"/>
      <c r="CO39" s="81">
        <f>AR10+AR18+AR19+AR20-AR21</f>
        <v>7</v>
      </c>
      <c r="CP39" s="81"/>
      <c r="CQ39" s="81">
        <f>AT10+AT18+AT19+AT20-AT21</f>
        <v>8</v>
      </c>
      <c r="CR39" s="81"/>
      <c r="CS39" s="81">
        <f>AV10+AV18+AV19+AV20-AV21</f>
        <v>8</v>
      </c>
      <c r="CT39" s="233"/>
    </row>
    <row r="40" spans="1:112" ht="24" customHeight="1" x14ac:dyDescent="0.2">
      <c r="C40" s="644"/>
      <c r="D40" s="558" t="str">
        <f>D12&amp;" (W2,4)"</f>
        <v>Services d’alimentation en eau (division 36 de la CITI) (W2,4)</v>
      </c>
      <c r="E40" s="559"/>
      <c r="F40" s="553"/>
      <c r="G40" s="553"/>
      <c r="H40" s="553"/>
      <c r="I40" s="553"/>
      <c r="J40" s="553"/>
      <c r="K40" s="553"/>
      <c r="L40" s="553"/>
      <c r="M40" s="553"/>
      <c r="N40" s="553"/>
      <c r="O40" s="553"/>
      <c r="P40" s="553"/>
      <c r="Q40" s="553"/>
      <c r="R40" s="553"/>
      <c r="S40" s="553"/>
      <c r="T40" s="553"/>
      <c r="U40" s="553"/>
      <c r="V40" s="553"/>
      <c r="W40" s="553"/>
      <c r="X40" s="553"/>
      <c r="Y40" s="553"/>
      <c r="Z40" s="777" t="str">
        <f>D18&amp;" (W2,10)"</f>
        <v>Eau dessalée (W2,10)</v>
      </c>
      <c r="AA40" s="778"/>
      <c r="AB40" s="779"/>
      <c r="AC40" s="553"/>
      <c r="AD40" s="553"/>
      <c r="AE40" s="777" t="str">
        <f>LEFT(D22,LEN(D22)-16)&amp;" (W2,14)"</f>
        <v>Quantité totale d’eau douce disponible et utilisable  (W2,14)</v>
      </c>
      <c r="AF40" s="778"/>
      <c r="AG40" s="778"/>
      <c r="AH40" s="779"/>
      <c r="AI40" s="553"/>
      <c r="AJ40" s="553"/>
      <c r="AK40" s="777" t="str">
        <f>LEFT(D24,LEN(D24)-8)&amp;" (W2,16)"</f>
        <v>Quantité totale d’eau douce utilisée  (W2,16)</v>
      </c>
      <c r="AL40" s="778"/>
      <c r="AM40" s="779"/>
      <c r="AN40" s="553"/>
      <c r="AO40" s="553"/>
      <c r="AP40" s="553"/>
      <c r="AQ40" s="541"/>
      <c r="AR40" s="541"/>
      <c r="AS40" s="541"/>
      <c r="AT40" s="541"/>
      <c r="AU40" s="541"/>
      <c r="AV40" s="541"/>
      <c r="AW40" s="541"/>
      <c r="AX40" s="189"/>
      <c r="AZ40" s="284" t="s">
        <v>494</v>
      </c>
      <c r="BA40" s="389" t="s">
        <v>569</v>
      </c>
      <c r="BB40" s="95"/>
      <c r="BC40" s="78" t="str">
        <f>IF(OR(ISBLANK(F10),ISBLANK(F18),ISBLANK(F19),ISBLANK(F20),ISBLANK(F21),ISBLANK(F22)),"N/A",IF((BC38=BC39),"ok","&lt;&gt;"))</f>
        <v>N/A</v>
      </c>
      <c r="BD40" s="78"/>
      <c r="BE40" s="78" t="str">
        <f>IF(OR(ISBLANK(H10),ISBLANK(H18),ISBLANK(H19),ISBLANK(H20),ISBLANK(H21),ISBLANK(H22)),"N/A",IF((BE38=BE39),"ok","&lt;&gt;"))</f>
        <v>N/A</v>
      </c>
      <c r="BF40" s="78"/>
      <c r="BG40" s="78" t="str">
        <f>IF(OR(ISBLANK(J10),ISBLANK(J18),ISBLANK(J19),ISBLANK(J20),ISBLANK(J21),ISBLANK(J22)),"N/A",IF((BG38=BG39),"ok","&lt;&gt;"))</f>
        <v>N/A</v>
      </c>
      <c r="BH40" s="78"/>
      <c r="BI40" s="78" t="str">
        <f>IF(OR(ISBLANK(L10),ISBLANK(L18),ISBLANK(L19),ISBLANK(L20),ISBLANK(L21),ISBLANK(L22)),"N/A",IF((BI38=BI39),"ok","&lt;&gt;"))</f>
        <v>N/A</v>
      </c>
      <c r="BJ40" s="78"/>
      <c r="BK40" s="78" t="str">
        <f>IF(OR(ISBLANK(N10),ISBLANK(N18),ISBLANK(N19),ISBLANK(N20),ISBLANK(N21),ISBLANK(N22)),"N/A",IF((BK38=BK39),"ok","&lt;&gt;"))</f>
        <v>N/A</v>
      </c>
      <c r="BL40" s="78"/>
      <c r="BM40" s="78" t="str">
        <f>IF(OR(ISBLANK(P10),ISBLANK(P18),ISBLANK(P19),ISBLANK(P20),ISBLANK(P21),ISBLANK(P22)),"N/A",IF((BM38=BM39),"ok","&lt;&gt;"))</f>
        <v>N/A</v>
      </c>
      <c r="BN40" s="78"/>
      <c r="BO40" s="78" t="str">
        <f>IF(OR(ISBLANK(R10),ISBLANK(R18),ISBLANK(R19),ISBLANK(R20),ISBLANK(R21),ISBLANK(R22)),"N/A",IF((BO38=BO39),"ok","&lt;&gt;"))</f>
        <v>N/A</v>
      </c>
      <c r="BP40" s="78"/>
      <c r="BQ40" s="78" t="str">
        <f>IF(OR(ISBLANK(T10),ISBLANK(T18),ISBLANK(T19),ISBLANK(T20),ISBLANK(T21),ISBLANK(T22)),"N/A",IF((BQ38=BQ39),"ok","&lt;&gt;"))</f>
        <v>N/A</v>
      </c>
      <c r="BR40" s="78"/>
      <c r="BS40" s="78" t="str">
        <f>IF(OR(ISBLANK(V10),ISBLANK(V18),ISBLANK(V19),ISBLANK(V20),ISBLANK(V21),ISBLANK(V22)),"N/A",IF((BS38=BS39),"ok","&lt;&gt;"))</f>
        <v>N/A</v>
      </c>
      <c r="BT40" s="78"/>
      <c r="BU40" s="78" t="str">
        <f>IF(OR(ISBLANK(X10),ISBLANK(X18),ISBLANK(X19),ISBLANK(X20),ISBLANK(X21),ISBLANK(X22)),"N/A",IF((BU38=BU39),"ok","&lt;&gt;"))</f>
        <v>N/A</v>
      </c>
      <c r="BV40" s="78"/>
      <c r="BW40" s="78" t="str">
        <f>IF(OR(ISBLANK(Z10),ISBLANK(Z18),ISBLANK(Z19),ISBLANK(Z20),ISBLANK(Z21),ISBLANK(Z22)),"N/A",IF((BW38=BW39),"ok","&lt;&gt;"))</f>
        <v>N/A</v>
      </c>
      <c r="BX40" s="78"/>
      <c r="BY40" s="78" t="str">
        <f>IF(OR(ISBLANK(AB10),ISBLANK(AB18),ISBLANK(AB19),ISBLANK(AB20),ISBLANK(AB21),ISBLANK(AB22)),"N/A",IF((BY38=BY39),"ok","&lt;&gt;"))</f>
        <v>N/A</v>
      </c>
      <c r="BZ40" s="78"/>
      <c r="CA40" s="78" t="str">
        <f>IF(OR(ISBLANK(AD10),ISBLANK(AD18),ISBLANK(AD19),ISBLANK(AD20),ISBLANK(AD21),ISBLANK(AD22)),"N/A",IF((CA38=CA39),"ok","&lt;&gt;"))</f>
        <v>N/A</v>
      </c>
      <c r="CB40" s="78"/>
      <c r="CC40" s="78" t="str">
        <f>IF(OR(ISBLANK(AF10),ISBLANK(AF18),ISBLANK(AF19),ISBLANK(AF20),ISBLANK(AF21),ISBLANK(AF22)),"N/A",IF((CC38=CC39),"ok","&lt;&gt;"))</f>
        <v>N/A</v>
      </c>
      <c r="CD40" s="78"/>
      <c r="CE40" s="78" t="str">
        <f>IF(OR(ISBLANK(AH10),ISBLANK(AH18),ISBLANK(AH19),ISBLANK(AH20),ISBLANK(AH21),ISBLANK(AH22)),"N/A",IF((CE38=CE39),"ok","&lt;&gt;"))</f>
        <v>N/A</v>
      </c>
      <c r="CF40" s="78"/>
      <c r="CG40" s="78" t="str">
        <f>IF(OR(ISBLANK(AJ10),ISBLANK(AJ18),ISBLANK(AJ19),ISBLANK(AJ20),ISBLANK(AJ21),ISBLANK(AJ22)),"N/A",IF((CG38=CG39),"ok","&lt;&gt;"))</f>
        <v>N/A</v>
      </c>
      <c r="CH40" s="78"/>
      <c r="CI40" s="78" t="str">
        <f>IF(OR(ISBLANK(AL10),ISBLANK(AL18),ISBLANK(AL19),ISBLANK(AL20),ISBLANK(AL21),ISBLANK(AL22)),"N/A",IF((CI38=CI39),"ok","&lt;&gt;"))</f>
        <v>N/A</v>
      </c>
      <c r="CJ40" s="78"/>
      <c r="CK40" s="78" t="str">
        <f>IF(OR(ISBLANK(AN10),ISBLANK(AN18),ISBLANK(AN19),ISBLANK(AN20),ISBLANK(AN21),ISBLANK(AN22)),"N/A",IF((CK38=CK39),"ok","&lt;&gt;"))</f>
        <v>N/A</v>
      </c>
      <c r="CL40" s="78"/>
      <c r="CM40" s="78" t="str">
        <f>IF(OR(ISBLANK(AP10),ISBLANK(AP18),ISBLANK(AP19),ISBLANK(AP20),ISBLANK(AP21),ISBLANK(AP22)),"N/A",IF((CM38=CM39),"ok","&lt;&gt;"))</f>
        <v>N/A</v>
      </c>
      <c r="CN40" s="78"/>
      <c r="CO40" s="78" t="str">
        <f>IF(OR(ISBLANK(AR10),ISBLANK(AR18),ISBLANK(AR19),ISBLANK(AR20),ISBLANK(AR21),ISBLANK(AR22)),"N/A",IF((CO38=CO39),"ok","&lt;&gt;"))</f>
        <v>N/A</v>
      </c>
      <c r="CP40" s="78"/>
      <c r="CQ40" s="78" t="str">
        <f>IF(OR(ISBLANK(AT10),ISBLANK(AT18),ISBLANK(AT19),ISBLANK(AT20),ISBLANK(AT21),ISBLANK(AT22)),"N/A",IF((CQ38=CQ39),"ok","&lt;&gt;"))</f>
        <v>N/A</v>
      </c>
      <c r="CR40" s="78"/>
      <c r="CS40" s="78" t="str">
        <f>IF(OR(ISBLANK(AV10),ISBLANK(AV18),ISBLANK(AV19),ISBLANK(AV20),ISBLANK(AV21),ISBLANK(AV22)),"N/A",IF((CS38=CS39),"ok","&lt;&gt;"))</f>
        <v>N/A</v>
      </c>
      <c r="CT40" s="238"/>
    </row>
    <row r="41" spans="1:112" ht="18.75" customHeight="1" x14ac:dyDescent="0.2">
      <c r="B41" s="645"/>
      <c r="D41" s="560"/>
      <c r="E41" s="553"/>
      <c r="F41" s="553"/>
      <c r="G41" s="553"/>
      <c r="H41" s="553"/>
      <c r="I41" s="553"/>
      <c r="J41" s="553"/>
      <c r="K41" s="553"/>
      <c r="L41" s="553"/>
      <c r="M41" s="553"/>
      <c r="N41" s="553"/>
      <c r="O41" s="553"/>
      <c r="P41" s="553"/>
      <c r="Q41" s="553"/>
      <c r="R41" s="553"/>
      <c r="S41" s="553"/>
      <c r="T41" s="553"/>
      <c r="U41" s="553"/>
      <c r="V41" s="553"/>
      <c r="W41" s="553"/>
      <c r="X41" s="553"/>
      <c r="Y41" s="553"/>
      <c r="Z41" s="780"/>
      <c r="AA41" s="781"/>
      <c r="AB41" s="782"/>
      <c r="AC41" s="553"/>
      <c r="AD41" s="553"/>
      <c r="AE41" s="780"/>
      <c r="AF41" s="781"/>
      <c r="AG41" s="781"/>
      <c r="AH41" s="782"/>
      <c r="AI41" s="553"/>
      <c r="AJ41" s="553"/>
      <c r="AK41" s="780"/>
      <c r="AL41" s="781"/>
      <c r="AM41" s="782"/>
      <c r="AN41" s="553"/>
      <c r="AO41" s="553"/>
      <c r="AP41" s="553"/>
      <c r="AQ41" s="777" t="str">
        <f>D27&amp;" (W2,18)"</f>
        <v>Agriculture, sylviculture et pêche (division 1 à 3 de la CITI) (W2,18)</v>
      </c>
      <c r="AR41" s="778"/>
      <c r="AS41" s="778"/>
      <c r="AT41" s="778"/>
      <c r="AU41" s="778"/>
      <c r="AV41" s="778"/>
      <c r="AW41" s="778"/>
      <c r="AX41" s="786"/>
      <c r="AZ41" s="366">
        <v>3</v>
      </c>
      <c r="BA41" s="568" t="s">
        <v>495</v>
      </c>
      <c r="BB41" s="95" t="s">
        <v>468</v>
      </c>
      <c r="BC41" s="78">
        <f>F10</f>
        <v>0</v>
      </c>
      <c r="BD41" s="78"/>
      <c r="BE41" s="78">
        <f>H10</f>
        <v>0</v>
      </c>
      <c r="BF41" s="78"/>
      <c r="BG41" s="78">
        <f>J10</f>
        <v>0</v>
      </c>
      <c r="BH41" s="78"/>
      <c r="BI41" s="78">
        <f>L10</f>
        <v>0</v>
      </c>
      <c r="BJ41" s="78"/>
      <c r="BK41" s="78">
        <f>N10</f>
        <v>0</v>
      </c>
      <c r="BL41" s="78"/>
      <c r="BM41" s="78">
        <f>P10</f>
        <v>0</v>
      </c>
      <c r="BN41" s="78"/>
      <c r="BO41" s="78">
        <f>R10</f>
        <v>6103</v>
      </c>
      <c r="BP41" s="78"/>
      <c r="BQ41" s="78">
        <f>T10</f>
        <v>5839</v>
      </c>
      <c r="BR41" s="78"/>
      <c r="BS41" s="78">
        <f>V10</f>
        <v>6251</v>
      </c>
      <c r="BT41" s="78"/>
      <c r="BU41" s="78">
        <f>X10</f>
        <v>6555</v>
      </c>
      <c r="BV41" s="78"/>
      <c r="BW41" s="78">
        <f>Z10</f>
        <v>8213</v>
      </c>
      <c r="BX41" s="78"/>
      <c r="BY41" s="78">
        <f>AB10</f>
        <v>7498</v>
      </c>
      <c r="BZ41" s="78"/>
      <c r="CA41" s="78">
        <f>AD10</f>
        <v>8079</v>
      </c>
      <c r="CB41" s="78"/>
      <c r="CC41" s="78">
        <f>AF10</f>
        <v>7648</v>
      </c>
      <c r="CD41" s="78"/>
      <c r="CE41" s="78">
        <f>AH10</f>
        <v>7114</v>
      </c>
      <c r="CF41" s="78"/>
      <c r="CG41" s="78">
        <f>AJ10</f>
        <v>7672</v>
      </c>
      <c r="CH41" s="78"/>
      <c r="CI41" s="78">
        <f>AL10</f>
        <v>8430</v>
      </c>
      <c r="CJ41" s="78"/>
      <c r="CK41" s="78">
        <f>AN10</f>
        <v>0</v>
      </c>
      <c r="CL41" s="78"/>
      <c r="CM41" s="78">
        <f>AP10</f>
        <v>0</v>
      </c>
      <c r="CN41" s="78"/>
      <c r="CO41" s="78">
        <f>AR10</f>
        <v>0</v>
      </c>
      <c r="CP41" s="78"/>
      <c r="CQ41" s="78">
        <f>AT10</f>
        <v>0</v>
      </c>
      <c r="CR41" s="78"/>
      <c r="CS41" s="78">
        <f>AV10</f>
        <v>0</v>
      </c>
      <c r="CT41" s="233"/>
    </row>
    <row r="42" spans="1:112" ht="23.25" customHeight="1" x14ac:dyDescent="0.2">
      <c r="B42" s="645"/>
      <c r="D42" s="558" t="str">
        <f>D13&amp;" (W2,5)"</f>
        <v>Ménages (W2,5)</v>
      </c>
      <c r="E42" s="553"/>
      <c r="F42" s="553"/>
      <c r="G42" s="553"/>
      <c r="H42" s="553"/>
      <c r="I42" s="553"/>
      <c r="J42" s="553"/>
      <c r="K42" s="553"/>
      <c r="L42" s="553"/>
      <c r="M42" s="553"/>
      <c r="N42" s="553"/>
      <c r="O42" s="553"/>
      <c r="P42" s="553"/>
      <c r="Q42" s="553"/>
      <c r="R42" s="553"/>
      <c r="S42" s="553"/>
      <c r="T42" s="553"/>
      <c r="U42" s="553"/>
      <c r="V42" s="553"/>
      <c r="W42" s="553"/>
      <c r="X42" s="553"/>
      <c r="Y42" s="553"/>
      <c r="Z42" s="783"/>
      <c r="AA42" s="784"/>
      <c r="AB42" s="785"/>
      <c r="AC42" s="557"/>
      <c r="AD42" s="553"/>
      <c r="AE42" s="780"/>
      <c r="AF42" s="781"/>
      <c r="AG42" s="781"/>
      <c r="AH42" s="782"/>
      <c r="AI42" s="553"/>
      <c r="AJ42" s="553"/>
      <c r="AK42" s="780"/>
      <c r="AL42" s="781"/>
      <c r="AM42" s="782"/>
      <c r="AN42" s="788" t="s">
        <v>605</v>
      </c>
      <c r="AO42" s="789"/>
      <c r="AP42" s="553"/>
      <c r="AQ42" s="783"/>
      <c r="AR42" s="784"/>
      <c r="AS42" s="784"/>
      <c r="AT42" s="784"/>
      <c r="AU42" s="784"/>
      <c r="AV42" s="784"/>
      <c r="AW42" s="784"/>
      <c r="AX42" s="787"/>
      <c r="AZ42" s="299">
        <v>25</v>
      </c>
      <c r="BA42" s="389" t="s">
        <v>464</v>
      </c>
      <c r="BB42" s="95" t="s">
        <v>468</v>
      </c>
      <c r="BC42" s="81">
        <f>SUM(F12:F17)</f>
        <v>0</v>
      </c>
      <c r="BD42" s="81"/>
      <c r="BE42" s="81">
        <f>SUM(H12:H17)</f>
        <v>0</v>
      </c>
      <c r="BF42" s="81"/>
      <c r="BG42" s="81">
        <f>SUM(J12:J17)</f>
        <v>0</v>
      </c>
      <c r="BH42" s="81"/>
      <c r="BI42" s="81">
        <f>SUM(L12:L17)</f>
        <v>0</v>
      </c>
      <c r="BJ42" s="81"/>
      <c r="BK42" s="81">
        <f>SUM(N12:N17)</f>
        <v>0</v>
      </c>
      <c r="BL42" s="81"/>
      <c r="BM42" s="81">
        <f>SUM(P12:P17)</f>
        <v>0</v>
      </c>
      <c r="BN42" s="81"/>
      <c r="BO42" s="81">
        <f>SUM(R12:R17)</f>
        <v>0</v>
      </c>
      <c r="BP42" s="81"/>
      <c r="BQ42" s="81">
        <f>SUM(T12:T17)</f>
        <v>0</v>
      </c>
      <c r="BR42" s="81"/>
      <c r="BS42" s="81">
        <f>SUM(V12:V17)</f>
        <v>0</v>
      </c>
      <c r="BT42" s="81"/>
      <c r="BU42" s="81">
        <f>SUM(X12:X17)</f>
        <v>0</v>
      </c>
      <c r="BV42" s="81"/>
      <c r="BW42" s="81">
        <f>SUM(Z12:Z17)</f>
        <v>0</v>
      </c>
      <c r="BX42" s="81"/>
      <c r="BY42" s="81">
        <f>SUM(AB12:AB17)</f>
        <v>0</v>
      </c>
      <c r="BZ42" s="81"/>
      <c r="CA42" s="81">
        <f>SUM(AD12:AD17)</f>
        <v>0</v>
      </c>
      <c r="CB42" s="81"/>
      <c r="CC42" s="81">
        <f>SUM(AF12:AF17)</f>
        <v>0</v>
      </c>
      <c r="CD42" s="81"/>
      <c r="CE42" s="81">
        <f>SUM(AH12:AH17)</f>
        <v>0</v>
      </c>
      <c r="CF42" s="81"/>
      <c r="CG42" s="81">
        <f>SUM(AJ12:AJ17)</f>
        <v>0</v>
      </c>
      <c r="CH42" s="81"/>
      <c r="CI42" s="81">
        <f>SUM(AL12:AL17)</f>
        <v>0</v>
      </c>
      <c r="CJ42" s="81"/>
      <c r="CK42" s="81">
        <f>SUM(AN12:AN17)</f>
        <v>0</v>
      </c>
      <c r="CL42" s="81"/>
      <c r="CM42" s="81">
        <f>SUM(AP12:AP17)</f>
        <v>0</v>
      </c>
      <c r="CN42" s="81"/>
      <c r="CO42" s="81">
        <f>SUM(AR12:AR17)</f>
        <v>0</v>
      </c>
      <c r="CP42" s="81"/>
      <c r="CQ42" s="81">
        <f>SUM(AT12:AT17)</f>
        <v>0</v>
      </c>
      <c r="CR42" s="81"/>
      <c r="CS42" s="81">
        <f>SUM(AV12:AV17)</f>
        <v>0</v>
      </c>
      <c r="CT42" s="238"/>
    </row>
    <row r="43" spans="1:112" ht="10.5" customHeight="1" x14ac:dyDescent="0.2">
      <c r="B43" s="645"/>
      <c r="D43" s="561"/>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780"/>
      <c r="AF43" s="781"/>
      <c r="AG43" s="781"/>
      <c r="AH43" s="782"/>
      <c r="AI43" s="553"/>
      <c r="AJ43" s="562"/>
      <c r="AK43" s="780"/>
      <c r="AL43" s="781"/>
      <c r="AM43" s="782"/>
      <c r="AN43" s="780"/>
      <c r="AO43" s="789"/>
      <c r="AP43" s="553"/>
      <c r="AQ43" s="553"/>
      <c r="AR43" s="553"/>
      <c r="AS43" s="553"/>
      <c r="AT43" s="553"/>
      <c r="AU43" s="553"/>
      <c r="AV43" s="553"/>
      <c r="AW43" s="553"/>
      <c r="AZ43" s="284" t="s">
        <v>494</v>
      </c>
      <c r="BA43" s="389" t="s">
        <v>440</v>
      </c>
      <c r="BB43" s="95"/>
      <c r="BC43" s="78" t="str">
        <f>IF(OR(ISBLANK(F10),ISBLANK(F12),ISBLANK(F13),ISBLANK(F14),ISBLANK(F15),ISBLANK(F16),ISBLANK(F17)),"N/A", IF(BC41=BC42,"ok","&lt;&gt;"))</f>
        <v>N/A</v>
      </c>
      <c r="BD43" s="78"/>
      <c r="BE43" s="78" t="str">
        <f>IF(OR(ISBLANK(H10),ISBLANK(H12),ISBLANK(H13),ISBLANK(H14),ISBLANK(H15),ISBLANK(H16),ISBLANK(H17)),"N/A", IF(BE41=BE42,"ok","&lt;&gt;"))</f>
        <v>N/A</v>
      </c>
      <c r="BF43" s="78"/>
      <c r="BG43" s="78" t="str">
        <f>IF(OR(ISBLANK(J10),ISBLANK(J12),ISBLANK(J13),ISBLANK(J14),ISBLANK(J15),ISBLANK(J16),ISBLANK(J17)),"N/A", IF(BG41=BG42,"ok","&lt;&gt;"))</f>
        <v>N/A</v>
      </c>
      <c r="BH43" s="78"/>
      <c r="BI43" s="78" t="str">
        <f>IF(OR(ISBLANK(L10),ISBLANK(L12),ISBLANK(L13),ISBLANK(L14),ISBLANK(L15),ISBLANK(L16),ISBLANK(L17)),"N/A", IF(BI41=BI42,"ok","&lt;&gt;"))</f>
        <v>N/A</v>
      </c>
      <c r="BJ43" s="78"/>
      <c r="BK43" s="78" t="str">
        <f>IF(OR(ISBLANK(N10),ISBLANK(N12),ISBLANK(N13),ISBLANK(N14),ISBLANK(N15),ISBLANK(N16),ISBLANK(N17)),"N/A", IF(BK41=BK42,"ok","&lt;&gt;"))</f>
        <v>N/A</v>
      </c>
      <c r="BL43" s="78"/>
      <c r="BM43" s="78" t="str">
        <f>IF(OR(ISBLANK(P10),ISBLANK(P12),ISBLANK(P13),ISBLANK(P14),ISBLANK(P15),ISBLANK(P16),ISBLANK(P17)),"N/A", IF(BM41=BM42,"ok","&lt;&gt;"))</f>
        <v>N/A</v>
      </c>
      <c r="BN43" s="78"/>
      <c r="BO43" s="78" t="str">
        <f>IF(OR(ISBLANK(R10),ISBLANK(R12),ISBLANK(R13),ISBLANK(R14),ISBLANK(R15),ISBLANK(R16),ISBLANK(R17)),"N/A", IF(BO41=BO42,"ok","&lt;&gt;"))</f>
        <v>N/A</v>
      </c>
      <c r="BP43" s="78"/>
      <c r="BQ43" s="78" t="str">
        <f>IF(OR(ISBLANK(T10),ISBLANK(T12),ISBLANK(T13),ISBLANK(T14),ISBLANK(T15),ISBLANK(T16),ISBLANK(T17)),"N/A", IF(BQ41=BQ42,"ok","&lt;&gt;"))</f>
        <v>N/A</v>
      </c>
      <c r="BR43" s="78"/>
      <c r="BS43" s="78" t="str">
        <f>IF(OR(ISBLANK(V10),ISBLANK(V12),ISBLANK(V13),ISBLANK(V14),ISBLANK(V15),ISBLANK(V16),ISBLANK(V17)),"N/A", IF(BS41=BS42,"ok","&lt;&gt;"))</f>
        <v>N/A</v>
      </c>
      <c r="BT43" s="78"/>
      <c r="BU43" s="78" t="str">
        <f>IF(OR(ISBLANK(X10),ISBLANK(X12),ISBLANK(X13),ISBLANK(X14),ISBLANK(X15),ISBLANK(X16),ISBLANK(X17)),"N/A", IF(BU41=BU42,"ok","&lt;&gt;"))</f>
        <v>N/A</v>
      </c>
      <c r="BV43" s="78"/>
      <c r="BW43" s="78" t="str">
        <f>IF(OR(ISBLANK(Z10),ISBLANK(Z12),ISBLANK(Z13),ISBLANK(Z14),ISBLANK(Z15),ISBLANK(Z16),ISBLANK(Z17)),"N/A", IF(BW41=BW42,"ok","&lt;&gt;"))</f>
        <v>N/A</v>
      </c>
      <c r="BX43" s="78"/>
      <c r="BY43" s="78" t="str">
        <f>IF(OR(ISBLANK(AB10),ISBLANK(AB12),ISBLANK(AB13),ISBLANK(AB14),ISBLANK(AB15),ISBLANK(AB16),ISBLANK(AB17)),"N/A", IF(BY41=BY42,"ok","&lt;&gt;"))</f>
        <v>N/A</v>
      </c>
      <c r="BZ43" s="78"/>
      <c r="CA43" s="78" t="str">
        <f>IF(OR(ISBLANK(AD10),ISBLANK(AD12),ISBLANK(AD13),ISBLANK(AD14),ISBLANK(AD15),ISBLANK(AD16),ISBLANK(AD17)),"N/A", IF(CA41=CA42,"ok","&lt;&gt;"))</f>
        <v>N/A</v>
      </c>
      <c r="CB43" s="78"/>
      <c r="CC43" s="78" t="str">
        <f>IF(OR(ISBLANK(AF10),ISBLANK(AF12),ISBLANK(AF13),ISBLANK(AF14),ISBLANK(AF15),ISBLANK(AF16),ISBLANK(AF17)),"N/A", IF(CC41=CC42,"ok","&lt;&gt;"))</f>
        <v>N/A</v>
      </c>
      <c r="CD43" s="78"/>
      <c r="CE43" s="78" t="str">
        <f>IF(OR(ISBLANK(AH10),ISBLANK(AH12),ISBLANK(AH13),ISBLANK(AH14),ISBLANK(AH15),ISBLANK(AH16),ISBLANK(AH17)),"N/A", IF(CE41=CE42,"ok","&lt;&gt;"))</f>
        <v>N/A</v>
      </c>
      <c r="CF43" s="78"/>
      <c r="CG43" s="78" t="str">
        <f>IF(OR(ISBLANK(AJ10),ISBLANK(AJ12),ISBLANK(AJ13),ISBLANK(AJ14),ISBLANK(AJ15),ISBLANK(AJ16),ISBLANK(AJ17)),"N/A", IF(CG41=CG42,"ok","&lt;&gt;"))</f>
        <v>N/A</v>
      </c>
      <c r="CH43" s="78"/>
      <c r="CI43" s="78" t="str">
        <f>IF(OR(ISBLANK(AL10),ISBLANK(AL12),ISBLANK(AL13),ISBLANK(AL14),ISBLANK(AL15),ISBLANK(AL16),ISBLANK(AL17)),"N/A", IF(CI41=CI42,"ok","&lt;&gt;"))</f>
        <v>N/A</v>
      </c>
      <c r="CJ43" s="78"/>
      <c r="CK43" s="78" t="str">
        <f>IF(OR(ISBLANK(AN10),ISBLANK(AN12),ISBLANK(AN13),ISBLANK(AN14),ISBLANK(AN15),ISBLANK(AN16),ISBLANK(AN17)),"N/A", IF(CK41=CK42,"ok","&lt;&gt;"))</f>
        <v>N/A</v>
      </c>
      <c r="CL43" s="78"/>
      <c r="CM43" s="78" t="str">
        <f>IF(OR(ISBLANK(AP10),ISBLANK(AP12),ISBLANK(AP13),ISBLANK(AP14),ISBLANK(AP15),ISBLANK(AP16),ISBLANK(AP17)),"N/A", IF(CM41=CM42,"ok","&lt;&gt;"))</f>
        <v>N/A</v>
      </c>
      <c r="CN43" s="78"/>
      <c r="CO43" s="78" t="str">
        <f>IF(OR(ISBLANK(AR10),ISBLANK(AR12),ISBLANK(AR13),ISBLANK(AR14),ISBLANK(AR15),ISBLANK(AR16),ISBLANK(AR17)),"N/A", IF(CO41=CO42,"ok","&lt;&gt;"))</f>
        <v>N/A</v>
      </c>
      <c r="CP43" s="78"/>
      <c r="CQ43" s="78" t="str">
        <f>IF(OR(ISBLANK(AT10),ISBLANK(AT12),ISBLANK(AT13),ISBLANK(AT14),ISBLANK(AT15),ISBLANK(AT16),ISBLANK(AT17)),"N/A", IF(CQ41=CQ42,"ok","&lt;&gt;"))</f>
        <v>N/A</v>
      </c>
      <c r="CR43" s="78"/>
      <c r="CS43" s="78" t="str">
        <f>IF(OR(ISBLANK(AV10),ISBLANK(AV12),ISBLANK(AV13),ISBLANK(AV14),ISBLANK(AV15),ISBLANK(AV16),ISBLANK(AV17)),"N/A", IF(CS41=CS42,"ok","&lt;&gt;"))</f>
        <v>N/A</v>
      </c>
      <c r="CT43" s="233"/>
    </row>
    <row r="44" spans="1:112" ht="37.5" customHeight="1" x14ac:dyDescent="0.2">
      <c r="B44" s="645"/>
      <c r="D44" s="558" t="str">
        <f>D14&amp;" (W2,6)"</f>
        <v>Agriculture, sylviculture et pêche (divisions 1 à 3 de la CITI) (W2,6)</v>
      </c>
      <c r="E44" s="553"/>
      <c r="F44" s="553"/>
      <c r="G44" s="553"/>
      <c r="H44" s="553"/>
      <c r="I44" s="553"/>
      <c r="J44" s="553"/>
      <c r="K44" s="553"/>
      <c r="L44" s="553"/>
      <c r="M44" s="553"/>
      <c r="N44" s="553"/>
      <c r="O44" s="553"/>
      <c r="P44" s="553"/>
      <c r="Q44" s="553"/>
      <c r="R44" s="553"/>
      <c r="S44" s="553"/>
      <c r="T44" s="553"/>
      <c r="U44" s="553"/>
      <c r="V44" s="553"/>
      <c r="W44" s="553"/>
      <c r="X44" s="553"/>
      <c r="Y44" s="553"/>
      <c r="Z44" s="772" t="str">
        <f>D19&amp;" (W2,11)"</f>
        <v>Eau réutilisée (W2,11)</v>
      </c>
      <c r="AA44" s="773"/>
      <c r="AB44" s="790"/>
      <c r="AC44" s="557"/>
      <c r="AD44" s="553"/>
      <c r="AE44" s="780"/>
      <c r="AF44" s="781"/>
      <c r="AG44" s="781"/>
      <c r="AH44" s="782"/>
      <c r="AI44" s="553"/>
      <c r="AJ44" s="562"/>
      <c r="AK44" s="780"/>
      <c r="AL44" s="781"/>
      <c r="AM44" s="782"/>
      <c r="AN44" s="409"/>
      <c r="AO44" s="563"/>
      <c r="AP44" s="553"/>
      <c r="AQ44" s="772" t="str">
        <f>D29&amp;" (W2,20)"</f>
        <v xml:space="preserve">   Activités de fabrication  (divisions 10 à 33 de la CITI) (W2,20)</v>
      </c>
      <c r="AR44" s="773"/>
      <c r="AS44" s="773"/>
      <c r="AT44" s="773"/>
      <c r="AU44" s="773"/>
      <c r="AV44" s="773"/>
      <c r="AW44" s="775"/>
      <c r="AX44" s="776"/>
      <c r="AZ44" s="366">
        <v>16</v>
      </c>
      <c r="BA44" s="568" t="s">
        <v>126</v>
      </c>
      <c r="BB44" s="95" t="s">
        <v>468</v>
      </c>
      <c r="BC44" s="81">
        <f>F24</f>
        <v>0</v>
      </c>
      <c r="BD44" s="81"/>
      <c r="BE44" s="81">
        <f>H24</f>
        <v>0</v>
      </c>
      <c r="BF44" s="81"/>
      <c r="BG44" s="81">
        <f>J24</f>
        <v>0</v>
      </c>
      <c r="BH44" s="81"/>
      <c r="BI44" s="81">
        <f>L24</f>
        <v>0</v>
      </c>
      <c r="BJ44" s="81"/>
      <c r="BK44" s="81">
        <f>N24</f>
        <v>0</v>
      </c>
      <c r="BL44" s="81"/>
      <c r="BM44" s="81">
        <f>P24</f>
        <v>0</v>
      </c>
      <c r="BN44" s="81"/>
      <c r="BO44" s="81">
        <f>R24</f>
        <v>0</v>
      </c>
      <c r="BP44" s="81"/>
      <c r="BQ44" s="81">
        <f>T24</f>
        <v>0</v>
      </c>
      <c r="BR44" s="81"/>
      <c r="BS44" s="81">
        <f>V24</f>
        <v>0</v>
      </c>
      <c r="BT44" s="81"/>
      <c r="BU44" s="81">
        <f>X24</f>
        <v>0</v>
      </c>
      <c r="BV44" s="81"/>
      <c r="BW44" s="81">
        <f>Z24</f>
        <v>0</v>
      </c>
      <c r="BX44" s="81"/>
      <c r="BY44" s="81">
        <f>AB24</f>
        <v>0</v>
      </c>
      <c r="BZ44" s="81"/>
      <c r="CA44" s="81">
        <f>AD24</f>
        <v>0</v>
      </c>
      <c r="CB44" s="81"/>
      <c r="CC44" s="81">
        <f>AF24</f>
        <v>0</v>
      </c>
      <c r="CD44" s="81"/>
      <c r="CE44" s="81">
        <f>AH24</f>
        <v>0</v>
      </c>
      <c r="CF44" s="81"/>
      <c r="CG44" s="81">
        <f>AJ24</f>
        <v>0</v>
      </c>
      <c r="CH44" s="81"/>
      <c r="CI44" s="81">
        <f>AL24</f>
        <v>0</v>
      </c>
      <c r="CJ44" s="81"/>
      <c r="CK44" s="81">
        <f>AN24</f>
        <v>0</v>
      </c>
      <c r="CL44" s="81"/>
      <c r="CM44" s="81">
        <f>AP24</f>
        <v>0</v>
      </c>
      <c r="CN44" s="81"/>
      <c r="CO44" s="81">
        <f>AR24</f>
        <v>0</v>
      </c>
      <c r="CP44" s="81"/>
      <c r="CQ44" s="81">
        <f>AT24</f>
        <v>0</v>
      </c>
      <c r="CR44" s="81"/>
      <c r="CS44" s="81">
        <f>AV24</f>
        <v>0</v>
      </c>
      <c r="CT44" s="238"/>
    </row>
    <row r="45" spans="1:112" ht="9" customHeight="1" x14ac:dyDescent="0.2">
      <c r="B45" s="645"/>
      <c r="D45" s="564"/>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783"/>
      <c r="AF45" s="784"/>
      <c r="AG45" s="784"/>
      <c r="AH45" s="785"/>
      <c r="AI45" s="553"/>
      <c r="AJ45" s="553"/>
      <c r="AK45" s="783"/>
      <c r="AL45" s="784"/>
      <c r="AM45" s="785"/>
      <c r="AN45" s="553"/>
      <c r="AO45" s="553"/>
      <c r="AP45" s="553"/>
      <c r="AQ45" s="553"/>
      <c r="AR45" s="553"/>
      <c r="AS45" s="553"/>
      <c r="AT45" s="553"/>
      <c r="AU45" s="553"/>
      <c r="AV45" s="553"/>
      <c r="AW45" s="553"/>
      <c r="AY45" s="313"/>
      <c r="AZ45" s="299">
        <v>26</v>
      </c>
      <c r="BA45" s="389" t="s">
        <v>465</v>
      </c>
      <c r="BB45" s="95" t="s">
        <v>468</v>
      </c>
      <c r="BC45" s="78">
        <f>F22-F23</f>
        <v>0</v>
      </c>
      <c r="BD45" s="78"/>
      <c r="BE45" s="78">
        <f>H22-H23</f>
        <v>0</v>
      </c>
      <c r="BF45" s="78"/>
      <c r="BG45" s="78">
        <f>J22-J23</f>
        <v>0</v>
      </c>
      <c r="BH45" s="78"/>
      <c r="BI45" s="78">
        <f>L22-L23</f>
        <v>0</v>
      </c>
      <c r="BJ45" s="78"/>
      <c r="BK45" s="78">
        <f>N22-N23</f>
        <v>0</v>
      </c>
      <c r="BL45" s="78"/>
      <c r="BM45" s="78">
        <f>P22-P23</f>
        <v>0</v>
      </c>
      <c r="BN45" s="78"/>
      <c r="BO45" s="78">
        <f>R22-R23</f>
        <v>0</v>
      </c>
      <c r="BP45" s="78"/>
      <c r="BQ45" s="78">
        <f>T22-T23</f>
        <v>0</v>
      </c>
      <c r="BR45" s="78"/>
      <c r="BS45" s="78">
        <f>V22-V23</f>
        <v>0</v>
      </c>
      <c r="BT45" s="78"/>
      <c r="BU45" s="78">
        <f>X22-X23</f>
        <v>0</v>
      </c>
      <c r="BV45" s="78"/>
      <c r="BW45" s="78">
        <f>Z22-Z23</f>
        <v>0</v>
      </c>
      <c r="BX45" s="78"/>
      <c r="BY45" s="78">
        <f>AB22-AB23</f>
        <v>0</v>
      </c>
      <c r="BZ45" s="78"/>
      <c r="CA45" s="78">
        <f>AD22-AD23</f>
        <v>0</v>
      </c>
      <c r="CB45" s="78"/>
      <c r="CC45" s="78">
        <f>AF22-AF23</f>
        <v>0</v>
      </c>
      <c r="CD45" s="78"/>
      <c r="CE45" s="78">
        <f>AH22-AH23</f>
        <v>0</v>
      </c>
      <c r="CF45" s="78"/>
      <c r="CG45" s="78">
        <f>AJ22-AJ23</f>
        <v>0</v>
      </c>
      <c r="CH45" s="78"/>
      <c r="CI45" s="78">
        <f>AL22-AL23</f>
        <v>0</v>
      </c>
      <c r="CJ45" s="78"/>
      <c r="CK45" s="78">
        <f>AN22-AN23</f>
        <v>0</v>
      </c>
      <c r="CL45" s="78"/>
      <c r="CM45" s="78">
        <f>AP22-AP23</f>
        <v>0</v>
      </c>
      <c r="CN45" s="78"/>
      <c r="CO45" s="78">
        <f>AR22-AR23</f>
        <v>0</v>
      </c>
      <c r="CP45" s="78"/>
      <c r="CQ45" s="78">
        <f>AT22-AT23</f>
        <v>0</v>
      </c>
      <c r="CR45" s="78"/>
      <c r="CS45" s="78">
        <f>AV22-AV23</f>
        <v>0</v>
      </c>
      <c r="CT45" s="233"/>
    </row>
    <row r="46" spans="1:112" ht="23.25" customHeight="1" x14ac:dyDescent="0.2">
      <c r="B46" s="645"/>
      <c r="D46" s="558" t="str">
        <f>D15&amp;" (W2,7)"</f>
        <v>Activités de fabrication (division 10 à 33 de la CITI) (W2,7)</v>
      </c>
      <c r="E46" s="553"/>
      <c r="F46" s="553"/>
      <c r="G46" s="553"/>
      <c r="H46" s="553"/>
      <c r="I46" s="553"/>
      <c r="J46" s="553"/>
      <c r="K46" s="553"/>
      <c r="L46" s="553"/>
      <c r="M46" s="553"/>
      <c r="N46" s="553"/>
      <c r="O46" s="553"/>
      <c r="P46" s="553"/>
      <c r="Q46" s="553"/>
      <c r="R46" s="553"/>
      <c r="S46" s="553"/>
      <c r="T46" s="553"/>
      <c r="U46" s="553"/>
      <c r="V46" s="553"/>
      <c r="W46" s="553"/>
      <c r="X46" s="557"/>
      <c r="Y46" s="286"/>
      <c r="Z46" s="777" t="str">
        <f>D20&amp;"-"&amp;D21&amp;"  =(W2,12)-(W2,13)"</f>
        <v>Importations d’eau-Exportations d’eau  =(W2,12)-(W2,13)</v>
      </c>
      <c r="AA46" s="791"/>
      <c r="AB46" s="792"/>
      <c r="AC46" s="557"/>
      <c r="AD46" s="556"/>
      <c r="AE46" s="556"/>
      <c r="AF46" s="556"/>
      <c r="AG46" s="553"/>
      <c r="AH46" s="553"/>
      <c r="AI46" s="553"/>
      <c r="AJ46" s="553"/>
      <c r="AK46" s="553"/>
      <c r="AL46" s="553"/>
      <c r="AM46" s="553"/>
      <c r="AN46" s="553"/>
      <c r="AO46" s="553"/>
      <c r="AP46" s="553"/>
      <c r="AQ46" s="772" t="str">
        <f>D30&amp;" (W2,21)"</f>
        <v xml:space="preserve">    Industrie électrique (division 351 de la CITI) (W2,21)</v>
      </c>
      <c r="AR46" s="773"/>
      <c r="AS46" s="773"/>
      <c r="AT46" s="773"/>
      <c r="AU46" s="773"/>
      <c r="AV46" s="773"/>
      <c r="AW46" s="775"/>
      <c r="AX46" s="776"/>
      <c r="AY46" s="313"/>
      <c r="AZ46" s="308" t="s">
        <v>494</v>
      </c>
      <c r="BA46" s="400" t="s">
        <v>441</v>
      </c>
      <c r="BB46" s="401"/>
      <c r="BC46" s="79" t="str">
        <f>IF(OR(ISBLANK(F22),ISBLANK(F23),ISBLANK(F24)),"N/A", IF(BC44=BC45,"ok","&lt;&gt;"))</f>
        <v>N/A</v>
      </c>
      <c r="BD46" s="79"/>
      <c r="BE46" s="79" t="str">
        <f>IF(OR(ISBLANK(H22),ISBLANK(H23),ISBLANK(H24)),"N/A", IF(BE44=BE45,"ok","&lt;&gt;"))</f>
        <v>N/A</v>
      </c>
      <c r="BF46" s="79"/>
      <c r="BG46" s="79" t="str">
        <f>IF(OR(ISBLANK(J22),ISBLANK(J23),ISBLANK(J24)),"N/A", IF(BG44=BG45,"ok","&lt;&gt;"))</f>
        <v>N/A</v>
      </c>
      <c r="BH46" s="79"/>
      <c r="BI46" s="79" t="str">
        <f>IF(OR(ISBLANK(L22),ISBLANK(L23),ISBLANK(L24)),"N/A", IF(BI44=BI45,"ok","&lt;&gt;"))</f>
        <v>N/A</v>
      </c>
      <c r="BJ46" s="79"/>
      <c r="BK46" s="79" t="str">
        <f>IF(OR(ISBLANK(N22),ISBLANK(N23),ISBLANK(N24)),"N/A", IF(BK44=BK45,"ok","&lt;&gt;"))</f>
        <v>N/A</v>
      </c>
      <c r="BL46" s="79"/>
      <c r="BM46" s="79" t="str">
        <f>IF(OR(ISBLANK(P22),ISBLANK(P23),ISBLANK(P24)),"N/A", IF(BM44=BM45,"ok","&lt;&gt;"))</f>
        <v>N/A</v>
      </c>
      <c r="BN46" s="79"/>
      <c r="BO46" s="79" t="str">
        <f>IF(OR(ISBLANK(R22),ISBLANK(R23),ISBLANK(R24)),"N/A", IF(BO44=BO45,"ok","&lt;&gt;"))</f>
        <v>N/A</v>
      </c>
      <c r="BP46" s="79"/>
      <c r="BQ46" s="79" t="str">
        <f>IF(OR(ISBLANK(T22),ISBLANK(T23),ISBLANK(T24)),"N/A", IF(BQ44=BQ45,"ok","&lt;&gt;"))</f>
        <v>N/A</v>
      </c>
      <c r="BR46" s="79"/>
      <c r="BS46" s="79" t="str">
        <f>IF(OR(ISBLANK(V22),ISBLANK(V23),ISBLANK(V24)),"N/A", IF(BS44=BS45,"ok","&lt;&gt;"))</f>
        <v>N/A</v>
      </c>
      <c r="BT46" s="79"/>
      <c r="BU46" s="79" t="str">
        <f>IF(OR(ISBLANK(X22),ISBLANK(X23),ISBLANK(X24)),"N/A", IF(BU44=BU45,"ok","&lt;&gt;"))</f>
        <v>N/A</v>
      </c>
      <c r="BV46" s="79"/>
      <c r="BW46" s="79" t="str">
        <f>IF(OR(ISBLANK(Z22),ISBLANK(Z23),ISBLANK(Z24)),"N/A", IF(BW44=BW45,"ok","&lt;&gt;"))</f>
        <v>N/A</v>
      </c>
      <c r="BX46" s="79"/>
      <c r="BY46" s="79" t="str">
        <f>IF(OR(ISBLANK(AB22),ISBLANK(AB23),ISBLANK(AB24)),"N/A", IF(BY44=BY45,"ok","&lt;&gt;"))</f>
        <v>N/A</v>
      </c>
      <c r="BZ46" s="79"/>
      <c r="CA46" s="79" t="str">
        <f>IF(OR(ISBLANK(AD22),ISBLANK(AD23),ISBLANK(AD24)),"N/A", IF(CA44=CA45,"ok","&lt;&gt;"))</f>
        <v>N/A</v>
      </c>
      <c r="CB46" s="79"/>
      <c r="CC46" s="79" t="str">
        <f>IF(OR(ISBLANK(AF22),ISBLANK(AF23),ISBLANK(AF24)),"N/A", IF(CC44=CC45,"ok","&lt;&gt;"))</f>
        <v>N/A</v>
      </c>
      <c r="CD46" s="79"/>
      <c r="CE46" s="79" t="str">
        <f>IF(OR(ISBLANK(AH22),ISBLANK(AH23),ISBLANK(AH24)),"N/A", IF(CE44=CE45,"ok","&lt;&gt;"))</f>
        <v>N/A</v>
      </c>
      <c r="CF46" s="79"/>
      <c r="CG46" s="79" t="str">
        <f>IF(OR(ISBLANK(AJ22),ISBLANK(AJ23),ISBLANK(AJ24)),"N/A", IF(CG44=CG45,"ok","&lt;&gt;"))</f>
        <v>N/A</v>
      </c>
      <c r="CH46" s="79"/>
      <c r="CI46" s="79" t="str">
        <f>IF(OR(ISBLANK(AL22),ISBLANK(AL23),ISBLANK(AL24)),"N/A", IF(CI44=CI45,"ok","&lt;&gt;"))</f>
        <v>N/A</v>
      </c>
      <c r="CJ46" s="79"/>
      <c r="CK46" s="79" t="str">
        <f>IF(OR(ISBLANK(AN22),ISBLANK(AN23),ISBLANK(AN24)),"N/A", IF(CK44=CK45,"ok","&lt;&gt;"))</f>
        <v>N/A</v>
      </c>
      <c r="CL46" s="79"/>
      <c r="CM46" s="79" t="str">
        <f>IF(OR(ISBLANK(AP22),ISBLANK(AP23),ISBLANK(AP24)),"N/A", IF(CM44=CM45,"ok","&lt;&gt;"))</f>
        <v>N/A</v>
      </c>
      <c r="CN46" s="79"/>
      <c r="CO46" s="79" t="str">
        <f>IF(OR(ISBLANK(AR22),ISBLANK(AR23),ISBLANK(AR24)),"N/A", IF(CO44=CO45,"ok","&lt;&gt;"))</f>
        <v>N/A</v>
      </c>
      <c r="CP46" s="79"/>
      <c r="CQ46" s="79" t="str">
        <f>IF(OR(ISBLANK(AT22),ISBLANK(AT23),ISBLANK(AT24)),"N/A", IF(CQ44=CQ45,"ok","&lt;&gt;"))</f>
        <v>N/A</v>
      </c>
      <c r="CR46" s="79"/>
      <c r="CS46" s="79" t="str">
        <f>IF(OR(ISBLANK(AV22),ISBLANK(AV23),ISBLANK(AV24)),"N/A", IF(CS44=CS45,"ok","&lt;&gt;"))</f>
        <v>N/A</v>
      </c>
      <c r="CT46" s="260"/>
    </row>
    <row r="47" spans="1:112" ht="12" customHeight="1" x14ac:dyDescent="0.2">
      <c r="B47" s="645"/>
      <c r="D47" s="564"/>
      <c r="E47" s="553"/>
      <c r="F47" s="553"/>
      <c r="G47" s="553"/>
      <c r="H47" s="553"/>
      <c r="I47" s="553"/>
      <c r="J47" s="553"/>
      <c r="K47" s="553"/>
      <c r="L47" s="553"/>
      <c r="M47" s="553"/>
      <c r="N47" s="553"/>
      <c r="O47" s="553"/>
      <c r="P47" s="553"/>
      <c r="Q47" s="553"/>
      <c r="R47" s="553"/>
      <c r="S47" s="553"/>
      <c r="T47" s="553"/>
      <c r="U47" s="553"/>
      <c r="V47" s="553"/>
      <c r="W47" s="553"/>
      <c r="X47" s="557"/>
      <c r="Y47" s="286"/>
      <c r="Z47" s="793"/>
      <c r="AA47" s="794"/>
      <c r="AB47" s="795"/>
      <c r="AC47" s="565"/>
      <c r="AD47" s="565"/>
      <c r="AE47" s="565"/>
      <c r="AF47" s="565"/>
      <c r="AG47" s="566"/>
      <c r="AH47" s="567"/>
      <c r="AI47" s="553"/>
      <c r="AJ47" s="553"/>
      <c r="AK47" s="553"/>
      <c r="AL47" s="553"/>
      <c r="AM47" s="553"/>
      <c r="AN47" s="553"/>
      <c r="AO47" s="553"/>
      <c r="AP47" s="553"/>
      <c r="AQ47" s="553"/>
      <c r="AR47" s="553"/>
      <c r="AS47" s="553"/>
      <c r="AT47" s="553"/>
      <c r="AU47" s="553"/>
      <c r="AV47" s="553"/>
      <c r="AW47" s="553"/>
      <c r="AZ47" s="310" t="s">
        <v>450</v>
      </c>
      <c r="BA47" s="311" t="s">
        <v>451</v>
      </c>
      <c r="BB47" s="94"/>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402"/>
      <c r="CU47" s="632"/>
    </row>
    <row r="48" spans="1:112" ht="20.100000000000001" customHeight="1" x14ac:dyDescent="0.2">
      <c r="B48" s="645"/>
      <c r="D48" s="558" t="str">
        <f>D16&amp;" (W2,8)"</f>
        <v>Industrie électrique (division 351 de la CITI) (W2,8)</v>
      </c>
      <c r="E48" s="553"/>
      <c r="F48" s="553"/>
      <c r="G48" s="553"/>
      <c r="H48" s="553"/>
      <c r="I48" s="553"/>
      <c r="J48" s="553"/>
      <c r="K48" s="553"/>
      <c r="L48" s="553"/>
      <c r="M48" s="553"/>
      <c r="N48" s="553"/>
      <c r="O48" s="553"/>
      <c r="P48" s="553"/>
      <c r="Q48" s="553"/>
      <c r="R48" s="553"/>
      <c r="S48" s="553"/>
      <c r="T48" s="553"/>
      <c r="U48" s="553"/>
      <c r="V48" s="553"/>
      <c r="W48" s="553"/>
      <c r="X48" s="557"/>
      <c r="Y48" s="286"/>
      <c r="Z48" s="793"/>
      <c r="AA48" s="794"/>
      <c r="AB48" s="795"/>
      <c r="AC48" s="557"/>
      <c r="AD48" s="553"/>
      <c r="AE48" s="553"/>
      <c r="AF48" s="553"/>
      <c r="AG48" s="553"/>
      <c r="AH48" s="777" t="str">
        <f>D23&amp;" (W2,15)"</f>
        <v>Pertes au cours du transport (W2,15)</v>
      </c>
      <c r="AI48" s="799"/>
      <c r="AJ48" s="799"/>
      <c r="AK48" s="799"/>
      <c r="AL48" s="800"/>
      <c r="AM48" s="553"/>
      <c r="AN48" s="553"/>
      <c r="AO48" s="553"/>
      <c r="AP48" s="553"/>
      <c r="AQ48" s="772" t="str">
        <f>D31&amp;" (W2,22)"</f>
        <v xml:space="preserve">    Autres activités économiques  (W2,22)</v>
      </c>
      <c r="AR48" s="773"/>
      <c r="AS48" s="773"/>
      <c r="AT48" s="773"/>
      <c r="AU48" s="773"/>
      <c r="AV48" s="773"/>
      <c r="AW48" s="775"/>
      <c r="AX48" s="776"/>
      <c r="AZ48" s="310" t="s">
        <v>452</v>
      </c>
      <c r="BA48" s="311" t="s">
        <v>453</v>
      </c>
      <c r="BB48" s="94"/>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402"/>
      <c r="CU48" s="632"/>
    </row>
    <row r="49" spans="1:99" ht="16.5" customHeight="1" x14ac:dyDescent="0.2">
      <c r="B49" s="645"/>
      <c r="D49" s="564"/>
      <c r="E49" s="553"/>
      <c r="F49" s="553"/>
      <c r="G49" s="553"/>
      <c r="H49" s="553"/>
      <c r="I49" s="553"/>
      <c r="J49" s="553"/>
      <c r="K49" s="553"/>
      <c r="L49" s="553"/>
      <c r="M49" s="553"/>
      <c r="N49" s="553"/>
      <c r="O49" s="553"/>
      <c r="P49" s="553"/>
      <c r="Q49" s="553"/>
      <c r="R49" s="553"/>
      <c r="S49" s="553"/>
      <c r="T49" s="553"/>
      <c r="U49" s="553"/>
      <c r="V49" s="553"/>
      <c r="W49" s="553"/>
      <c r="X49" s="557"/>
      <c r="Y49" s="570"/>
      <c r="Z49" s="796"/>
      <c r="AA49" s="797"/>
      <c r="AB49" s="798"/>
      <c r="AC49" s="553"/>
      <c r="AD49" s="553"/>
      <c r="AE49" s="553"/>
      <c r="AF49" s="553"/>
      <c r="AG49" s="553"/>
      <c r="AH49" s="801"/>
      <c r="AI49" s="802"/>
      <c r="AJ49" s="802"/>
      <c r="AK49" s="802"/>
      <c r="AL49" s="803"/>
      <c r="AM49" s="553"/>
      <c r="AN49" s="553"/>
      <c r="AO49" s="553"/>
      <c r="AP49" s="553"/>
      <c r="AQ49" s="553"/>
      <c r="AR49" s="553"/>
      <c r="AS49" s="553"/>
      <c r="AT49" s="553"/>
      <c r="AU49" s="553"/>
      <c r="AV49" s="553"/>
      <c r="AW49" s="553"/>
      <c r="AZ49" s="312" t="s">
        <v>455</v>
      </c>
      <c r="BA49" s="311" t="s">
        <v>457</v>
      </c>
      <c r="BB49" s="94"/>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402"/>
      <c r="CU49" s="632"/>
    </row>
    <row r="50" spans="1:99" ht="20.100000000000001" customHeight="1" x14ac:dyDescent="0.2">
      <c r="B50" s="645"/>
      <c r="D50" s="558" t="str">
        <f>D17&amp;" (W2,9)"</f>
        <v>Autres activités économiques (W2,9)</v>
      </c>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Z50" s="312" t="s">
        <v>454</v>
      </c>
      <c r="BA50" s="311" t="s">
        <v>412</v>
      </c>
      <c r="BB50" s="94"/>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11"/>
      <c r="CQ50" s="111"/>
      <c r="CR50" s="111"/>
      <c r="CS50" s="111"/>
      <c r="CT50" s="402"/>
      <c r="CU50" s="632"/>
    </row>
    <row r="51" spans="1:99" ht="24" customHeight="1" x14ac:dyDescent="0.25">
      <c r="B51" s="176">
        <v>2</v>
      </c>
      <c r="C51" s="391" t="s">
        <v>306</v>
      </c>
      <c r="D51" s="392"/>
      <c r="E51" s="391"/>
      <c r="F51" s="205"/>
      <c r="G51" s="393"/>
      <c r="H51" s="394"/>
      <c r="I51" s="395"/>
      <c r="J51" s="395"/>
      <c r="K51" s="395"/>
      <c r="L51" s="395"/>
      <c r="M51" s="395"/>
      <c r="N51" s="395"/>
      <c r="O51" s="395"/>
      <c r="P51" s="394"/>
      <c r="Q51" s="395"/>
      <c r="R51" s="394"/>
      <c r="S51" s="395"/>
      <c r="T51" s="394"/>
      <c r="U51" s="395"/>
      <c r="V51" s="394"/>
      <c r="W51" s="393"/>
      <c r="X51" s="394"/>
      <c r="Y51" s="393"/>
      <c r="Z51" s="394"/>
      <c r="AA51" s="393"/>
      <c r="AB51" s="394"/>
      <c r="AC51" s="393"/>
      <c r="AD51" s="394"/>
      <c r="AE51" s="393"/>
      <c r="AF51" s="396"/>
      <c r="AG51" s="393"/>
      <c r="AH51" s="394"/>
      <c r="AI51" s="395"/>
      <c r="AJ51" s="394"/>
      <c r="AK51" s="393"/>
      <c r="AL51" s="394"/>
      <c r="AM51" s="393"/>
      <c r="AN51" s="394"/>
      <c r="AO51" s="349"/>
      <c r="AP51" s="349"/>
      <c r="AQ51" s="349"/>
      <c r="AR51" s="349"/>
      <c r="AS51" s="349"/>
      <c r="AT51" s="348"/>
      <c r="AU51" s="638"/>
      <c r="AV51" s="348"/>
      <c r="AW51" s="638"/>
      <c r="AX51" s="638"/>
      <c r="AZ51" s="310"/>
      <c r="BA51" s="311"/>
      <c r="BB51" s="94"/>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402"/>
      <c r="CU51" s="632"/>
    </row>
    <row r="52" spans="1:99" ht="24" customHeight="1" x14ac:dyDescent="0.25">
      <c r="C52" s="397"/>
      <c r="D52" s="397"/>
      <c r="E52" s="398"/>
      <c r="F52" s="335"/>
      <c r="G52" s="331"/>
      <c r="H52" s="332"/>
      <c r="I52" s="333"/>
      <c r="J52" s="333"/>
      <c r="K52" s="333"/>
      <c r="L52" s="333"/>
      <c r="M52" s="333"/>
      <c r="N52" s="333"/>
      <c r="O52" s="333"/>
      <c r="P52" s="332"/>
      <c r="Q52" s="333"/>
      <c r="R52" s="332"/>
      <c r="S52" s="333"/>
      <c r="T52" s="332"/>
      <c r="U52" s="333"/>
      <c r="V52" s="332"/>
      <c r="W52" s="331"/>
      <c r="X52" s="332"/>
      <c r="Y52" s="331"/>
      <c r="Z52" s="332"/>
      <c r="AA52" s="331"/>
      <c r="AB52" s="332"/>
      <c r="AC52" s="331"/>
      <c r="AD52" s="332"/>
      <c r="AE52" s="331"/>
      <c r="AF52" s="399"/>
      <c r="AG52" s="331"/>
      <c r="AH52" s="332"/>
      <c r="AI52" s="333"/>
      <c r="AJ52" s="332"/>
      <c r="AK52" s="331"/>
      <c r="AL52" s="334"/>
      <c r="AM52" s="329"/>
      <c r="AN52" s="334"/>
      <c r="AZ52" s="310"/>
      <c r="BA52" s="311"/>
      <c r="BB52" s="94"/>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1"/>
      <c r="CR52" s="111"/>
      <c r="CS52" s="111"/>
      <c r="CT52" s="402"/>
      <c r="CU52" s="632"/>
    </row>
    <row r="53" spans="1:99" ht="24" customHeight="1" x14ac:dyDescent="0.2">
      <c r="C53" s="307" t="s">
        <v>604</v>
      </c>
      <c r="D53" s="757" t="s">
        <v>307</v>
      </c>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9"/>
      <c r="AZ53" s="310"/>
      <c r="BA53" s="311"/>
      <c r="BB53" s="94"/>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402"/>
      <c r="CU53" s="632"/>
    </row>
    <row r="54" spans="1:99" ht="25.5" customHeight="1" x14ac:dyDescent="0.2">
      <c r="A54" s="623">
        <v>0</v>
      </c>
      <c r="B54" s="176">
        <v>5667</v>
      </c>
      <c r="C54" s="584" t="s">
        <v>634</v>
      </c>
      <c r="D54" s="760" t="s">
        <v>642</v>
      </c>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2"/>
      <c r="AZ54" s="310"/>
      <c r="BA54" s="311"/>
      <c r="BB54" s="94"/>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402"/>
      <c r="CU54" s="632"/>
    </row>
    <row r="55" spans="1:99" ht="18" customHeight="1" x14ac:dyDescent="0.2">
      <c r="A55" s="623">
        <v>1</v>
      </c>
      <c r="B55" s="176">
        <v>4378</v>
      </c>
      <c r="C55" s="579" t="s">
        <v>635</v>
      </c>
      <c r="D55" s="745" t="s">
        <v>636</v>
      </c>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6"/>
      <c r="AU55" s="746"/>
      <c r="AV55" s="746"/>
      <c r="AW55" s="746"/>
      <c r="AX55" s="747"/>
      <c r="AZ55" s="310"/>
      <c r="BA55" s="311"/>
      <c r="BB55" s="94"/>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c r="CG55" s="111"/>
      <c r="CH55" s="111"/>
      <c r="CI55" s="111"/>
      <c r="CJ55" s="111"/>
      <c r="CK55" s="111"/>
      <c r="CL55" s="111"/>
      <c r="CM55" s="111"/>
      <c r="CN55" s="111"/>
      <c r="CO55" s="111"/>
      <c r="CP55" s="111"/>
      <c r="CQ55" s="111"/>
      <c r="CR55" s="111"/>
      <c r="CS55" s="111"/>
      <c r="CT55" s="402"/>
      <c r="CU55" s="632"/>
    </row>
    <row r="56" spans="1:99" ht="18" customHeight="1" x14ac:dyDescent="0.2">
      <c r="C56" s="579"/>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7"/>
      <c r="AZ56" s="645"/>
      <c r="BA56" s="645"/>
      <c r="BB56" s="94"/>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402"/>
      <c r="CU56" s="632"/>
    </row>
    <row r="57" spans="1:99" ht="18" customHeight="1" x14ac:dyDescent="0.2">
      <c r="C57" s="579"/>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6"/>
      <c r="AS57" s="746"/>
      <c r="AT57" s="746"/>
      <c r="AU57" s="746"/>
      <c r="AV57" s="746"/>
      <c r="AW57" s="746"/>
      <c r="AX57" s="747"/>
      <c r="AZ57" s="645"/>
      <c r="BA57" s="645"/>
      <c r="BB57" s="94"/>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1"/>
      <c r="CF57" s="111"/>
      <c r="CG57" s="111"/>
      <c r="CH57" s="111"/>
      <c r="CI57" s="111"/>
      <c r="CJ57" s="111"/>
      <c r="CK57" s="111"/>
      <c r="CL57" s="111"/>
      <c r="CM57" s="111"/>
      <c r="CN57" s="111"/>
      <c r="CO57" s="111"/>
      <c r="CP57" s="111"/>
      <c r="CQ57" s="111"/>
      <c r="CR57" s="111"/>
      <c r="CS57" s="111"/>
      <c r="CT57" s="402"/>
      <c r="CU57" s="632"/>
    </row>
    <row r="58" spans="1:99" ht="18" customHeight="1" x14ac:dyDescent="0.2">
      <c r="C58" s="579"/>
      <c r="D58" s="745"/>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c r="AZ58" s="645"/>
      <c r="BA58" s="645"/>
      <c r="BB58" s="94"/>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402"/>
      <c r="CU58" s="632"/>
    </row>
    <row r="59" spans="1:99" ht="18" customHeight="1" x14ac:dyDescent="0.2">
      <c r="C59" s="579"/>
      <c r="D59" s="745"/>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c r="AZ59" s="403"/>
      <c r="BA59" s="404"/>
      <c r="BB59" s="94"/>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402"/>
      <c r="CU59" s="632"/>
    </row>
    <row r="60" spans="1:99" ht="18" customHeight="1" x14ac:dyDescent="0.2">
      <c r="C60" s="579"/>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c r="AN60" s="746"/>
      <c r="AO60" s="746"/>
      <c r="AP60" s="746"/>
      <c r="AQ60" s="746"/>
      <c r="AR60" s="746"/>
      <c r="AS60" s="746"/>
      <c r="AT60" s="746"/>
      <c r="AU60" s="746"/>
      <c r="AV60" s="746"/>
      <c r="AW60" s="746"/>
      <c r="AX60" s="747"/>
      <c r="AZ60" s="403"/>
      <c r="BA60" s="406"/>
      <c r="BB60" s="94"/>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402"/>
      <c r="CU60" s="632"/>
    </row>
    <row r="61" spans="1:99" ht="18" customHeight="1" x14ac:dyDescent="0.2">
      <c r="C61" s="579"/>
      <c r="D61" s="74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c r="AZ61" s="403"/>
      <c r="BA61" s="406"/>
      <c r="BB61" s="94"/>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402"/>
      <c r="CU61" s="632"/>
    </row>
    <row r="62" spans="1:99" ht="18" customHeight="1" x14ac:dyDescent="0.2">
      <c r="C62" s="579"/>
      <c r="D62" s="74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c r="AZ62" s="403"/>
      <c r="BA62" s="406"/>
      <c r="BB62" s="94"/>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402"/>
      <c r="CU62" s="632"/>
    </row>
    <row r="63" spans="1:99" ht="18" customHeight="1" x14ac:dyDescent="0.2">
      <c r="C63" s="579"/>
      <c r="D63" s="745"/>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c r="AN63" s="746"/>
      <c r="AO63" s="746"/>
      <c r="AP63" s="746"/>
      <c r="AQ63" s="746"/>
      <c r="AR63" s="746"/>
      <c r="AS63" s="746"/>
      <c r="AT63" s="746"/>
      <c r="AU63" s="746"/>
      <c r="AV63" s="746"/>
      <c r="AW63" s="746"/>
      <c r="AX63" s="747"/>
    </row>
    <row r="64" spans="1:99" ht="18" customHeight="1" x14ac:dyDescent="0.2">
      <c r="C64" s="579"/>
      <c r="D64" s="745"/>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row>
    <row r="65" spans="1:50" ht="18" customHeight="1" x14ac:dyDescent="0.2">
      <c r="C65" s="579"/>
      <c r="D65" s="745"/>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18" customHeight="1" x14ac:dyDescent="0.2">
      <c r="C66" s="579"/>
      <c r="D66" s="745"/>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746"/>
      <c r="AT66" s="746"/>
      <c r="AU66" s="746"/>
      <c r="AV66" s="746"/>
      <c r="AW66" s="746"/>
      <c r="AX66" s="747"/>
    </row>
    <row r="67" spans="1:50" ht="18" customHeight="1" x14ac:dyDescent="0.2">
      <c r="C67" s="579"/>
      <c r="D67" s="745"/>
      <c r="E67" s="746"/>
      <c r="F67" s="746"/>
      <c r="G67" s="746"/>
      <c r="H67" s="746"/>
      <c r="I67" s="746"/>
      <c r="J67" s="746"/>
      <c r="K67" s="746"/>
      <c r="L67" s="746"/>
      <c r="M67" s="746"/>
      <c r="N67" s="746"/>
      <c r="O67" s="746"/>
      <c r="P67" s="746"/>
      <c r="Q67" s="746"/>
      <c r="R67" s="746"/>
      <c r="S67" s="746"/>
      <c r="T67" s="746"/>
      <c r="U67" s="746"/>
      <c r="V67" s="746"/>
      <c r="W67" s="746"/>
      <c r="X67" s="746"/>
      <c r="Y67" s="746"/>
      <c r="Z67" s="746"/>
      <c r="AA67" s="746"/>
      <c r="AB67" s="746"/>
      <c r="AC67" s="746"/>
      <c r="AD67" s="746"/>
      <c r="AE67" s="746"/>
      <c r="AF67" s="746"/>
      <c r="AG67" s="746"/>
      <c r="AH67" s="746"/>
      <c r="AI67" s="746"/>
      <c r="AJ67" s="746"/>
      <c r="AK67" s="746"/>
      <c r="AL67" s="746"/>
      <c r="AM67" s="746"/>
      <c r="AN67" s="746"/>
      <c r="AO67" s="746"/>
      <c r="AP67" s="746"/>
      <c r="AQ67" s="746"/>
      <c r="AR67" s="746"/>
      <c r="AS67" s="746"/>
      <c r="AT67" s="746"/>
      <c r="AU67" s="746"/>
      <c r="AV67" s="746"/>
      <c r="AW67" s="746"/>
      <c r="AX67" s="747"/>
    </row>
    <row r="68" spans="1:50" ht="18" customHeight="1" x14ac:dyDescent="0.2">
      <c r="C68" s="579"/>
      <c r="D68" s="745"/>
      <c r="E68" s="746"/>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746"/>
      <c r="AJ68" s="746"/>
      <c r="AK68" s="746"/>
      <c r="AL68" s="746"/>
      <c r="AM68" s="746"/>
      <c r="AN68" s="746"/>
      <c r="AO68" s="746"/>
      <c r="AP68" s="746"/>
      <c r="AQ68" s="746"/>
      <c r="AR68" s="746"/>
      <c r="AS68" s="746"/>
      <c r="AT68" s="746"/>
      <c r="AU68" s="746"/>
      <c r="AV68" s="746"/>
      <c r="AW68" s="746"/>
      <c r="AX68" s="747"/>
    </row>
    <row r="69" spans="1:50" ht="18" customHeight="1" x14ac:dyDescent="0.2">
      <c r="C69" s="579"/>
      <c r="D69" s="745"/>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4"/>
      <c r="AO69" s="804"/>
      <c r="AP69" s="804"/>
      <c r="AQ69" s="804"/>
      <c r="AR69" s="804"/>
      <c r="AS69" s="804"/>
      <c r="AT69" s="804"/>
      <c r="AU69" s="804"/>
      <c r="AV69" s="804"/>
      <c r="AW69" s="804"/>
      <c r="AX69" s="805"/>
    </row>
    <row r="70" spans="1:50" ht="18" customHeight="1" x14ac:dyDescent="0.2">
      <c r="C70" s="579"/>
      <c r="D70" s="745"/>
      <c r="E70" s="746"/>
      <c r="F70" s="746"/>
      <c r="G70" s="746"/>
      <c r="H70" s="746"/>
      <c r="I70" s="746"/>
      <c r="J70" s="746"/>
      <c r="K70" s="746"/>
      <c r="L70" s="746"/>
      <c r="M70" s="746"/>
      <c r="N70" s="746"/>
      <c r="O70" s="746"/>
      <c r="P70" s="746"/>
      <c r="Q70" s="746"/>
      <c r="R70" s="746"/>
      <c r="S70" s="746"/>
      <c r="T70" s="746"/>
      <c r="U70" s="746"/>
      <c r="V70" s="746"/>
      <c r="W70" s="746"/>
      <c r="X70" s="746"/>
      <c r="Y70" s="746"/>
      <c r="Z70" s="746"/>
      <c r="AA70" s="746"/>
      <c r="AB70" s="746"/>
      <c r="AC70" s="746"/>
      <c r="AD70" s="746"/>
      <c r="AE70" s="746"/>
      <c r="AF70" s="746"/>
      <c r="AG70" s="746"/>
      <c r="AH70" s="746"/>
      <c r="AI70" s="746"/>
      <c r="AJ70" s="746"/>
      <c r="AK70" s="746"/>
      <c r="AL70" s="746"/>
      <c r="AM70" s="746"/>
      <c r="AN70" s="746"/>
      <c r="AO70" s="746"/>
      <c r="AP70" s="746"/>
      <c r="AQ70" s="746"/>
      <c r="AR70" s="746"/>
      <c r="AS70" s="746"/>
      <c r="AT70" s="746"/>
      <c r="AU70" s="746"/>
      <c r="AV70" s="746"/>
      <c r="AW70" s="746"/>
      <c r="AX70" s="747"/>
    </row>
    <row r="71" spans="1:50" ht="18" customHeight="1" x14ac:dyDescent="0.2">
      <c r="C71" s="579"/>
      <c r="D71" s="745"/>
      <c r="E71" s="746"/>
      <c r="F71" s="746"/>
      <c r="G71" s="746"/>
      <c r="H71" s="746"/>
      <c r="I71" s="746"/>
      <c r="J71" s="746"/>
      <c r="K71" s="746"/>
      <c r="L71" s="746"/>
      <c r="M71" s="746"/>
      <c r="N71" s="746"/>
      <c r="O71" s="746"/>
      <c r="P71" s="746"/>
      <c r="Q71" s="746"/>
      <c r="R71" s="746"/>
      <c r="S71" s="746"/>
      <c r="T71" s="746"/>
      <c r="U71" s="746"/>
      <c r="V71" s="746"/>
      <c r="W71" s="746"/>
      <c r="X71" s="746"/>
      <c r="Y71" s="746"/>
      <c r="Z71" s="746"/>
      <c r="AA71" s="746"/>
      <c r="AB71" s="746"/>
      <c r="AC71" s="746"/>
      <c r="AD71" s="746"/>
      <c r="AE71" s="746"/>
      <c r="AF71" s="746"/>
      <c r="AG71" s="746"/>
      <c r="AH71" s="746"/>
      <c r="AI71" s="746"/>
      <c r="AJ71" s="746"/>
      <c r="AK71" s="746"/>
      <c r="AL71" s="746"/>
      <c r="AM71" s="746"/>
      <c r="AN71" s="746"/>
      <c r="AO71" s="746"/>
      <c r="AP71" s="746"/>
      <c r="AQ71" s="746"/>
      <c r="AR71" s="746"/>
      <c r="AS71" s="746"/>
      <c r="AT71" s="746"/>
      <c r="AU71" s="746"/>
      <c r="AV71" s="746"/>
      <c r="AW71" s="746"/>
      <c r="AX71" s="747"/>
    </row>
    <row r="72" spans="1:50" ht="18" customHeight="1" x14ac:dyDescent="0.2">
      <c r="C72" s="579"/>
      <c r="D72" s="745"/>
      <c r="E72" s="746"/>
      <c r="F72" s="746"/>
      <c r="G72" s="746"/>
      <c r="H72" s="746"/>
      <c r="I72" s="746"/>
      <c r="J72" s="746"/>
      <c r="K72" s="746"/>
      <c r="L72" s="746"/>
      <c r="M72" s="746"/>
      <c r="N72" s="746"/>
      <c r="O72" s="746"/>
      <c r="P72" s="746"/>
      <c r="Q72" s="746"/>
      <c r="R72" s="746"/>
      <c r="S72" s="746"/>
      <c r="T72" s="746"/>
      <c r="U72" s="746"/>
      <c r="V72" s="746"/>
      <c r="W72" s="746"/>
      <c r="X72" s="746"/>
      <c r="Y72" s="746"/>
      <c r="Z72" s="746"/>
      <c r="AA72" s="746"/>
      <c r="AB72" s="746"/>
      <c r="AC72" s="746"/>
      <c r="AD72" s="746"/>
      <c r="AE72" s="746"/>
      <c r="AF72" s="746"/>
      <c r="AG72" s="746"/>
      <c r="AH72" s="746"/>
      <c r="AI72" s="746"/>
      <c r="AJ72" s="746"/>
      <c r="AK72" s="746"/>
      <c r="AL72" s="746"/>
      <c r="AM72" s="746"/>
      <c r="AN72" s="746"/>
      <c r="AO72" s="746"/>
      <c r="AP72" s="746"/>
      <c r="AQ72" s="746"/>
      <c r="AR72" s="746"/>
      <c r="AS72" s="746"/>
      <c r="AT72" s="746"/>
      <c r="AU72" s="746"/>
      <c r="AV72" s="746"/>
      <c r="AW72" s="746"/>
      <c r="AX72" s="747"/>
    </row>
    <row r="73" spans="1:50" ht="18" customHeight="1" x14ac:dyDescent="0.2">
      <c r="C73" s="579"/>
      <c r="D73" s="745"/>
      <c r="E73" s="746"/>
      <c r="F73" s="746"/>
      <c r="G73" s="746"/>
      <c r="H73" s="746"/>
      <c r="I73" s="746"/>
      <c r="J73" s="746"/>
      <c r="K73" s="746"/>
      <c r="L73" s="746"/>
      <c r="M73" s="746"/>
      <c r="N73" s="746"/>
      <c r="O73" s="746"/>
      <c r="P73" s="746"/>
      <c r="Q73" s="746"/>
      <c r="R73" s="746"/>
      <c r="S73" s="746"/>
      <c r="T73" s="746"/>
      <c r="U73" s="746"/>
      <c r="V73" s="746"/>
      <c r="W73" s="746"/>
      <c r="X73" s="746"/>
      <c r="Y73" s="746"/>
      <c r="Z73" s="746"/>
      <c r="AA73" s="746"/>
      <c r="AB73" s="746"/>
      <c r="AC73" s="746"/>
      <c r="AD73" s="746"/>
      <c r="AE73" s="746"/>
      <c r="AF73" s="746"/>
      <c r="AG73" s="746"/>
      <c r="AH73" s="746"/>
      <c r="AI73" s="746"/>
      <c r="AJ73" s="746"/>
      <c r="AK73" s="746"/>
      <c r="AL73" s="746"/>
      <c r="AM73" s="746"/>
      <c r="AN73" s="746"/>
      <c r="AO73" s="746"/>
      <c r="AP73" s="746"/>
      <c r="AQ73" s="746"/>
      <c r="AR73" s="746"/>
      <c r="AS73" s="746"/>
      <c r="AT73" s="746"/>
      <c r="AU73" s="746"/>
      <c r="AV73" s="746"/>
      <c r="AW73" s="746"/>
      <c r="AX73" s="747"/>
    </row>
    <row r="74" spans="1:50" ht="18" customHeight="1" x14ac:dyDescent="0.2">
      <c r="C74" s="579"/>
      <c r="D74" s="745"/>
      <c r="E74" s="746"/>
      <c r="F74" s="746"/>
      <c r="G74" s="746"/>
      <c r="H74" s="746"/>
      <c r="I74" s="746"/>
      <c r="J74" s="746"/>
      <c r="K74" s="746"/>
      <c r="L74" s="746"/>
      <c r="M74" s="746"/>
      <c r="N74" s="746"/>
      <c r="O74" s="746"/>
      <c r="P74" s="746"/>
      <c r="Q74" s="746"/>
      <c r="R74" s="746"/>
      <c r="S74" s="746"/>
      <c r="T74" s="746"/>
      <c r="U74" s="746"/>
      <c r="V74" s="746"/>
      <c r="W74" s="746"/>
      <c r="X74" s="746"/>
      <c r="Y74" s="746"/>
      <c r="Z74" s="746"/>
      <c r="AA74" s="746"/>
      <c r="AB74" s="746"/>
      <c r="AC74" s="746"/>
      <c r="AD74" s="746"/>
      <c r="AE74" s="746"/>
      <c r="AF74" s="746"/>
      <c r="AG74" s="746"/>
      <c r="AH74" s="746"/>
      <c r="AI74" s="746"/>
      <c r="AJ74" s="746"/>
      <c r="AK74" s="746"/>
      <c r="AL74" s="746"/>
      <c r="AM74" s="746"/>
      <c r="AN74" s="746"/>
      <c r="AO74" s="746"/>
      <c r="AP74" s="746"/>
      <c r="AQ74" s="746"/>
      <c r="AR74" s="746"/>
      <c r="AS74" s="746"/>
      <c r="AT74" s="746"/>
      <c r="AU74" s="746"/>
      <c r="AV74" s="746"/>
      <c r="AW74" s="746"/>
      <c r="AX74" s="747"/>
    </row>
    <row r="75" spans="1:50" ht="18" customHeight="1" x14ac:dyDescent="0.2">
      <c r="C75" s="569"/>
      <c r="D75" s="765"/>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9"/>
    </row>
    <row r="76" spans="1:50" ht="16.5" customHeight="1" x14ac:dyDescent="0.2"/>
    <row r="77" spans="1:50" x14ac:dyDescent="0.2">
      <c r="A77" s="646"/>
      <c r="B77" s="411"/>
    </row>
    <row r="78" spans="1:50" x14ac:dyDescent="0.2">
      <c r="A78" s="646"/>
      <c r="B78" s="411"/>
    </row>
    <row r="79" spans="1:50" x14ac:dyDescent="0.2">
      <c r="A79" s="646"/>
      <c r="B79" s="411"/>
    </row>
  </sheetData>
  <sheetProtection sheet="1" formatCells="0" formatColumns="0" formatRows="0" insertColumns="0" insertRows="0" insertHyperlinks="0"/>
  <mergeCells count="43">
    <mergeCell ref="D73:AX73"/>
    <mergeCell ref="D74:AX74"/>
    <mergeCell ref="D75:AX75"/>
    <mergeCell ref="D67:AX67"/>
    <mergeCell ref="D68:AX68"/>
    <mergeCell ref="D69:AX69"/>
    <mergeCell ref="D70:AX70"/>
    <mergeCell ref="D71:AX71"/>
    <mergeCell ref="D72:AX72"/>
    <mergeCell ref="D66:AX66"/>
    <mergeCell ref="D55:AX55"/>
    <mergeCell ref="D56:AX56"/>
    <mergeCell ref="D57:AX57"/>
    <mergeCell ref="D58:AX58"/>
    <mergeCell ref="D59:AX59"/>
    <mergeCell ref="D60:AX60"/>
    <mergeCell ref="D61:AX61"/>
    <mergeCell ref="D62:AX62"/>
    <mergeCell ref="D63:AX63"/>
    <mergeCell ref="D64:AX64"/>
    <mergeCell ref="D65:AX65"/>
    <mergeCell ref="D54:AX54"/>
    <mergeCell ref="E38:AB38"/>
    <mergeCell ref="AQ38:AV38"/>
    <mergeCell ref="AQ39:AX39"/>
    <mergeCell ref="Z40:AB42"/>
    <mergeCell ref="AE40:AH45"/>
    <mergeCell ref="AK40:AM45"/>
    <mergeCell ref="AQ41:AX42"/>
    <mergeCell ref="AN42:AO43"/>
    <mergeCell ref="Z44:AB44"/>
    <mergeCell ref="AQ44:AX44"/>
    <mergeCell ref="Z46:AB49"/>
    <mergeCell ref="AQ46:AX46"/>
    <mergeCell ref="AH48:AL49"/>
    <mergeCell ref="AQ48:AX48"/>
    <mergeCell ref="D53:AX53"/>
    <mergeCell ref="D37:AX37"/>
    <mergeCell ref="C5:AM5"/>
    <mergeCell ref="D33:AX33"/>
    <mergeCell ref="D34:AX34"/>
    <mergeCell ref="D35:AX35"/>
    <mergeCell ref="D36:AX36"/>
  </mergeCells>
  <conditionalFormatting sqref="AR24">
    <cfRule type="cellIs" dxfId="248" priority="130" stopIfTrue="1" operator="lessThan">
      <formula>0.99*(AR22-AR23)</formula>
    </cfRule>
  </conditionalFormatting>
  <conditionalFormatting sqref="AR10">
    <cfRule type="cellIs" dxfId="247" priority="129" stopIfTrue="1" operator="lessThan">
      <formula>AR8+AR9-(0.01*(AR8+AR9))</formula>
    </cfRule>
  </conditionalFormatting>
  <conditionalFormatting sqref="AR22">
    <cfRule type="cellIs" dxfId="246" priority="128" stopIfTrue="1" operator="lessThan">
      <formula>AR10+AR18+AR19+AR20-AR21-(0.01*(AR10+AR18+AR19+AR20-AR21))</formula>
    </cfRule>
  </conditionalFormatting>
  <conditionalFormatting sqref="AZ24">
    <cfRule type="cellIs" dxfId="245" priority="115" stopIfTrue="1" operator="lessThan">
      <formula>AZ22-AZ23-(0.01*(AZ22-AZ23))</formula>
    </cfRule>
  </conditionalFormatting>
  <conditionalFormatting sqref="BC23 BC16 BC9">
    <cfRule type="cellIs" dxfId="244" priority="113" stopIfTrue="1" operator="lessThan">
      <formula>#REF!+#REF!</formula>
    </cfRule>
    <cfRule type="cellIs" dxfId="243" priority="114" stopIfTrue="1" operator="lessThan">
      <formula>#REF!+BC12+BC13+BC14+BC15+#REF!</formula>
    </cfRule>
  </conditionalFormatting>
  <conditionalFormatting sqref="BC10 BC17 BC24">
    <cfRule type="cellIs" dxfId="242" priority="111" stopIfTrue="1" operator="lessThan">
      <formula>#REF!+#REF!</formula>
    </cfRule>
    <cfRule type="cellIs" dxfId="241" priority="112" stopIfTrue="1" operator="lessThan">
      <formula>BC12+BC13+BC14+BC15+#REF!+#REF!</formula>
    </cfRule>
  </conditionalFormatting>
  <conditionalFormatting sqref="BC11 BC18 BC25">
    <cfRule type="cellIs" dxfId="240" priority="109" stopIfTrue="1" operator="lessThan">
      <formula>#REF!+#REF!</formula>
    </cfRule>
    <cfRule type="cellIs" dxfId="239" priority="110" stopIfTrue="1" operator="lessThan">
      <formula>BC13+BC14+BC15+#REF!+#REF!+#REF!</formula>
    </cfRule>
  </conditionalFormatting>
  <conditionalFormatting sqref="BC8">
    <cfRule type="cellIs" dxfId="238" priority="107" stopIfTrue="1" operator="lessThan">
      <formula>#REF!+#REF!</formula>
    </cfRule>
    <cfRule type="cellIs" dxfId="237" priority="108" stopIfTrue="1" operator="lessThan">
      <formula>BC10+BC11+BC12+BC13+BC14+BC15</formula>
    </cfRule>
  </conditionalFormatting>
  <conditionalFormatting sqref="BC14">
    <cfRule type="cellIs" dxfId="236" priority="105" stopIfTrue="1" operator="lessThan">
      <formula>BC30+#REF!</formula>
    </cfRule>
    <cfRule type="cellIs" dxfId="235" priority="106" stopIfTrue="1" operator="lessThan">
      <formula>#REF!+#REF!+#REF!+#REF!+#REF!+BC27</formula>
    </cfRule>
  </conditionalFormatting>
  <conditionalFormatting sqref="BC15">
    <cfRule type="cellIs" dxfId="234" priority="103" stopIfTrue="1" operator="lessThan">
      <formula>BC31+#REF!</formula>
    </cfRule>
    <cfRule type="cellIs" dxfId="233" priority="104" stopIfTrue="1" operator="lessThan">
      <formula>#REF!+#REF!+#REF!+#REF!+BC27+BC29</formula>
    </cfRule>
  </conditionalFormatting>
  <conditionalFormatting sqref="BC13">
    <cfRule type="cellIs" dxfId="232" priority="101" stopIfTrue="1" operator="lessThan">
      <formula>BC29+#REF!</formula>
    </cfRule>
    <cfRule type="cellIs" dxfId="231" priority="102" stopIfTrue="1" operator="lessThan">
      <formula>BC15+#REF!+#REF!+#REF!+#REF!+#REF!</formula>
    </cfRule>
  </conditionalFormatting>
  <conditionalFormatting sqref="BC12">
    <cfRule type="cellIs" dxfId="230" priority="99" stopIfTrue="1" operator="lessThan">
      <formula>BC27+#REF!</formula>
    </cfRule>
    <cfRule type="cellIs" dxfId="229" priority="100" stopIfTrue="1" operator="lessThan">
      <formula>BC14+BC15+#REF!+#REF!+#REF!+#REF!</formula>
    </cfRule>
  </conditionalFormatting>
  <conditionalFormatting sqref="BC30">
    <cfRule type="cellIs" dxfId="228" priority="97" stopIfTrue="1" operator="lessThan">
      <formula>#REF!+BC38</formula>
    </cfRule>
    <cfRule type="cellIs" dxfId="227" priority="98" stopIfTrue="1" operator="lessThan">
      <formula>#REF!+#REF!+#REF!+#REF!+#REF!+#REF!</formula>
    </cfRule>
  </conditionalFormatting>
  <conditionalFormatting sqref="BC31">
    <cfRule type="cellIs" dxfId="226" priority="95" stopIfTrue="1" operator="lessThan">
      <formula>#REF!+BC40</formula>
    </cfRule>
    <cfRule type="cellIs" dxfId="225" priority="96" stopIfTrue="1" operator="lessThan">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dxfId="224" priority="94" stopIfTrue="1" operator="equal">
      <formula>"&lt;&gt;"</formula>
    </cfRule>
  </conditionalFormatting>
  <conditionalFormatting sqref="BQ8:BQ31 CO8:CO31 CM8:CM31 CK8:CK31 CI8:CI31 CG8:CG31 CE8:CE31 CC8:CC31 CA8:CA31 BY8:BY31 BW8:BW31 BU8:BU25 BS8:BS31 CS8:CS31 BO8:BO31 CQ8:CQ31 BG8:BG31 BI8:BI31 BK8:BK31 BM8:BM31 BU27:BU31 BT26:BU26">
    <cfRule type="cellIs" dxfId="223" priority="93" stopIfTrue="1" operator="equal">
      <formula>"&gt; 25%"</formula>
    </cfRule>
  </conditionalFormatting>
  <conditionalFormatting sqref="BE8:BE31">
    <cfRule type="cellIs" dxfId="222" priority="92" stopIfTrue="1" operator="equal">
      <formula>"&gt; 100%"</formula>
    </cfRule>
  </conditionalFormatting>
  <conditionalFormatting sqref="BC27">
    <cfRule type="cellIs" dxfId="221" priority="90" stopIfTrue="1" operator="lessThan">
      <formula>#REF!+#REF!</formula>
    </cfRule>
    <cfRule type="cellIs" dxfId="220" priority="91" stopIfTrue="1" operator="lessThan">
      <formula>BC29+#REF!+#REF!+#REF!+#REF!+#REF!</formula>
    </cfRule>
  </conditionalFormatting>
  <conditionalFormatting sqref="BC26">
    <cfRule type="cellIs" dxfId="219" priority="88" stopIfTrue="1" operator="lessThan">
      <formula>#REF!+#REF!</formula>
    </cfRule>
    <cfRule type="cellIs" dxfId="218" priority="89" stopIfTrue="1" operator="lessThan">
      <formula>BC28+BC29+#REF!+#REF!+#REF!+#REF!</formula>
    </cfRule>
  </conditionalFormatting>
  <conditionalFormatting sqref="BC28">
    <cfRule type="cellIs" dxfId="217" priority="86" stopIfTrue="1" operator="lessThan">
      <formula>#REF!+#REF!</formula>
    </cfRule>
    <cfRule type="cellIs" dxfId="216" priority="87" stopIfTrue="1" operator="lessThan">
      <formula>#REF!+#REF!+#REF!+#REF!+#REF!+#REF!</formula>
    </cfRule>
  </conditionalFormatting>
  <conditionalFormatting sqref="BC29">
    <cfRule type="cellIs" dxfId="215" priority="84" stopIfTrue="1" operator="lessThan">
      <formula>#REF!+BC37</formula>
    </cfRule>
    <cfRule type="cellIs" dxfId="214" priority="85" stopIfTrue="1" operator="lessThan">
      <formula>BC31+#REF!+#REF!+#REF!+#REF!+#REF!</formula>
    </cfRule>
  </conditionalFormatting>
  <conditionalFormatting sqref="BC21">
    <cfRule type="cellIs" dxfId="213" priority="82" stopIfTrue="1" operator="lessThan">
      <formula>BC36+#REF!</formula>
    </cfRule>
    <cfRule type="cellIs" dxfId="212" priority="83" stopIfTrue="1" operator="lessThan">
      <formula>#REF!+#REF!+#REF!+#REF!+#REF!+BC33</formula>
    </cfRule>
  </conditionalFormatting>
  <conditionalFormatting sqref="BC22">
    <cfRule type="cellIs" dxfId="211" priority="80" stopIfTrue="1" operator="lessThan">
      <formula>BC37+#REF!</formula>
    </cfRule>
    <cfRule type="cellIs" dxfId="210" priority="81" stopIfTrue="1" operator="lessThan">
      <formula>#REF!+#REF!+#REF!+#REF!+BC33+BC35</formula>
    </cfRule>
  </conditionalFormatting>
  <conditionalFormatting sqref="BC20">
    <cfRule type="cellIs" dxfId="209" priority="78" stopIfTrue="1" operator="lessThan">
      <formula>BC35+#REF!</formula>
    </cfRule>
    <cfRule type="cellIs" dxfId="208" priority="79" stopIfTrue="1" operator="lessThan">
      <formula>BC22+#REF!+#REF!+#REF!+#REF!+#REF!</formula>
    </cfRule>
  </conditionalFormatting>
  <conditionalFormatting sqref="BC19">
    <cfRule type="cellIs" dxfId="207" priority="76" stopIfTrue="1" operator="lessThan">
      <formula>BC33+#REF!</formula>
    </cfRule>
    <cfRule type="cellIs" dxfId="206" priority="77" stopIfTrue="1" operator="lessThan">
      <formula>BC21+BC22+#REF!+#REF!+#REF!+#REF!</formula>
    </cfRule>
  </conditionalFormatting>
  <conditionalFormatting sqref="F24">
    <cfRule type="cellIs" dxfId="205" priority="75" stopIfTrue="1" operator="lessThan">
      <formula>0.99*(F22-F23)</formula>
    </cfRule>
  </conditionalFormatting>
  <conditionalFormatting sqref="F10">
    <cfRule type="cellIs" dxfId="204" priority="74" stopIfTrue="1" operator="lessThan">
      <formula>F8+F9-(0.01*(F8+F9))</formula>
    </cfRule>
  </conditionalFormatting>
  <conditionalFormatting sqref="F22">
    <cfRule type="cellIs" dxfId="203" priority="73" stopIfTrue="1" operator="lessThan">
      <formula>F10+F18+F19+F20-F21-(0.01*(F10+F18+F19+F20-F21))</formula>
    </cfRule>
  </conditionalFormatting>
  <conditionalFormatting sqref="H24">
    <cfRule type="cellIs" dxfId="202" priority="72" stopIfTrue="1" operator="lessThan">
      <formula>0.99*(H22-H23)</formula>
    </cfRule>
  </conditionalFormatting>
  <conditionalFormatting sqref="H10">
    <cfRule type="cellIs" dxfId="201" priority="71" stopIfTrue="1" operator="lessThan">
      <formula>H8+H9-(0.01*(H8+H9))</formula>
    </cfRule>
  </conditionalFormatting>
  <conditionalFormatting sqref="H22">
    <cfRule type="cellIs" dxfId="200" priority="70" stopIfTrue="1" operator="lessThan">
      <formula>H10+H18+H19+H20-H21-(0.01*(H10+H18+H19+H20-H21))</formula>
    </cfRule>
  </conditionalFormatting>
  <conditionalFormatting sqref="J24">
    <cfRule type="cellIs" dxfId="199" priority="69" stopIfTrue="1" operator="lessThan">
      <formula>0.99*(J22-J23)</formula>
    </cfRule>
  </conditionalFormatting>
  <conditionalFormatting sqref="J10">
    <cfRule type="cellIs" dxfId="198" priority="68" stopIfTrue="1" operator="lessThan">
      <formula>J8+J9-(0.01*(J8+J9))</formula>
    </cfRule>
  </conditionalFormatting>
  <conditionalFormatting sqref="J22">
    <cfRule type="cellIs" dxfId="197" priority="67" stopIfTrue="1" operator="lessThan">
      <formula>J10+J18+J19+J20-J21-(0.01*(J10+J18+J19+J20-J21))</formula>
    </cfRule>
  </conditionalFormatting>
  <conditionalFormatting sqref="L24">
    <cfRule type="cellIs" dxfId="196" priority="66" stopIfTrue="1" operator="lessThan">
      <formula>0.99*(L22-L23)</formula>
    </cfRule>
  </conditionalFormatting>
  <conditionalFormatting sqref="L10">
    <cfRule type="cellIs" dxfId="195" priority="65" stopIfTrue="1" operator="lessThan">
      <formula>L8+L9-(0.01*(L8+L9))</formula>
    </cfRule>
  </conditionalFormatting>
  <conditionalFormatting sqref="L22">
    <cfRule type="cellIs" dxfId="194" priority="64" stopIfTrue="1" operator="lessThan">
      <formula>L10+L18+L19+L20-L21-(0.01*(L10+L18+L19+L20-L21))</formula>
    </cfRule>
  </conditionalFormatting>
  <conditionalFormatting sqref="N24">
    <cfRule type="cellIs" dxfId="193" priority="63" stopIfTrue="1" operator="lessThan">
      <formula>0.99*(N22-N23)</formula>
    </cfRule>
  </conditionalFormatting>
  <conditionalFormatting sqref="N10">
    <cfRule type="cellIs" dxfId="192" priority="62" stopIfTrue="1" operator="lessThan">
      <formula>N8+N9-(0.01*(N8+N9))</formula>
    </cfRule>
  </conditionalFormatting>
  <conditionalFormatting sqref="N22">
    <cfRule type="cellIs" dxfId="191" priority="61" stopIfTrue="1" operator="lessThan">
      <formula>N10+N18+N19+N20-N21-(0.01*(N10+N18+N19+N20-N21))</formula>
    </cfRule>
  </conditionalFormatting>
  <conditionalFormatting sqref="P24">
    <cfRule type="cellIs" dxfId="190" priority="60" stopIfTrue="1" operator="lessThan">
      <formula>0.99*(P22-P23)</formula>
    </cfRule>
  </conditionalFormatting>
  <conditionalFormatting sqref="P10">
    <cfRule type="cellIs" dxfId="189" priority="59" stopIfTrue="1" operator="lessThan">
      <formula>P8+P9-(0.01*(P8+P9))</formula>
    </cfRule>
  </conditionalFormatting>
  <conditionalFormatting sqref="P22">
    <cfRule type="cellIs" dxfId="188" priority="58" stopIfTrue="1" operator="lessThan">
      <formula>P10+P18+P19+P20-P21-(0.01*(P10+P18+P19+P20-P21))</formula>
    </cfRule>
  </conditionalFormatting>
  <conditionalFormatting sqref="AN24">
    <cfRule type="cellIs" dxfId="187" priority="12" stopIfTrue="1" operator="lessThan">
      <formula>0.99*(AN22-AN23)</formula>
    </cfRule>
  </conditionalFormatting>
  <conditionalFormatting sqref="AN10">
    <cfRule type="cellIs" dxfId="186" priority="11" stopIfTrue="1" operator="lessThan">
      <formula>AN8+AN9-(0.01*(AN8+AN9))</formula>
    </cfRule>
  </conditionalFormatting>
  <conditionalFormatting sqref="AN22">
    <cfRule type="cellIs" dxfId="185" priority="10" stopIfTrue="1" operator="lessThan">
      <formula>AN10+AN18+AN19+AN20-AN21-(0.01*(AN10+AN18+AN19+AN20-AN21))</formula>
    </cfRule>
  </conditionalFormatting>
  <conditionalFormatting sqref="R24">
    <cfRule type="cellIs" dxfId="184" priority="45" stopIfTrue="1" operator="lessThan">
      <formula>0.99*(R22-R23)</formula>
    </cfRule>
  </conditionalFormatting>
  <conditionalFormatting sqref="R10">
    <cfRule type="cellIs" dxfId="183" priority="44" stopIfTrue="1" operator="lessThan">
      <formula>R8+R9-(0.01*(R8+R9))</formula>
    </cfRule>
  </conditionalFormatting>
  <conditionalFormatting sqref="R22">
    <cfRule type="cellIs" dxfId="182" priority="43" stopIfTrue="1" operator="lessThan">
      <formula>R10+R18+R19+R20-R21-(0.01*(R10+R18+R19+R20-R21))</formula>
    </cfRule>
  </conditionalFormatting>
  <conditionalFormatting sqref="T24">
    <cfRule type="cellIs" dxfId="181" priority="42" stopIfTrue="1" operator="lessThan">
      <formula>0.99*(T22-T23)</formula>
    </cfRule>
  </conditionalFormatting>
  <conditionalFormatting sqref="T10">
    <cfRule type="cellIs" dxfId="180" priority="41" stopIfTrue="1" operator="lessThan">
      <formula>T8+T9-(0.01*(T8+T9))</formula>
    </cfRule>
  </conditionalFormatting>
  <conditionalFormatting sqref="T22">
    <cfRule type="cellIs" dxfId="179" priority="40" stopIfTrue="1" operator="lessThan">
      <formula>T10+T18+T19+T20-T21-(0.01*(T10+T18+T19+T20-T21))</formula>
    </cfRule>
  </conditionalFormatting>
  <conditionalFormatting sqref="V24">
    <cfRule type="cellIs" dxfId="178" priority="39" stopIfTrue="1" operator="lessThan">
      <formula>0.99*(V22-V23)</formula>
    </cfRule>
  </conditionalFormatting>
  <conditionalFormatting sqref="V10">
    <cfRule type="cellIs" dxfId="177" priority="38" stopIfTrue="1" operator="lessThan">
      <formula>V8+V9-(0.01*(V8+V9))</formula>
    </cfRule>
  </conditionalFormatting>
  <conditionalFormatting sqref="V22">
    <cfRule type="cellIs" dxfId="176" priority="37" stopIfTrue="1" operator="lessThan">
      <formula>V10+V18+V19+V20-V21-(0.01*(V10+V18+V19+V20-V21))</formula>
    </cfRule>
  </conditionalFormatting>
  <conditionalFormatting sqref="X24">
    <cfRule type="cellIs" dxfId="175" priority="36" stopIfTrue="1" operator="lessThan">
      <formula>0.99*(X22-X23)</formula>
    </cfRule>
  </conditionalFormatting>
  <conditionalFormatting sqref="X10">
    <cfRule type="cellIs" dxfId="174" priority="35" stopIfTrue="1" operator="lessThan">
      <formula>X8+X9-(0.01*(X8+X9))</formula>
    </cfRule>
  </conditionalFormatting>
  <conditionalFormatting sqref="X22">
    <cfRule type="cellIs" dxfId="173" priority="34" stopIfTrue="1" operator="lessThan">
      <formula>X10+X18+X19+X20-X21-(0.01*(X10+X18+X19+X20-X21))</formula>
    </cfRule>
  </conditionalFormatting>
  <conditionalFormatting sqref="Z24">
    <cfRule type="cellIs" dxfId="172" priority="33" stopIfTrue="1" operator="lessThan">
      <formula>0.99*(Z22-Z23)</formula>
    </cfRule>
  </conditionalFormatting>
  <conditionalFormatting sqref="Z10">
    <cfRule type="cellIs" dxfId="171" priority="32" stopIfTrue="1" operator="lessThan">
      <formula>Z8+Z9-(0.01*(Z8+Z9))</formula>
    </cfRule>
  </conditionalFormatting>
  <conditionalFormatting sqref="Z22">
    <cfRule type="cellIs" dxfId="170" priority="31" stopIfTrue="1" operator="lessThan">
      <formula>Z10+Z18+Z19+Z20-Z21-(0.01*(Z10+Z18+Z19+Z20-Z21))</formula>
    </cfRule>
  </conditionalFormatting>
  <conditionalFormatting sqref="AB24">
    <cfRule type="cellIs" dxfId="169" priority="30" stopIfTrue="1" operator="lessThan">
      <formula>0.99*(AB22-AB23)</formula>
    </cfRule>
  </conditionalFormatting>
  <conditionalFormatting sqref="AB10">
    <cfRule type="cellIs" dxfId="168" priority="29" stopIfTrue="1" operator="lessThan">
      <formula>AB8+AB9-(0.01*(AB8+AB9))</formula>
    </cfRule>
  </conditionalFormatting>
  <conditionalFormatting sqref="AB22">
    <cfRule type="cellIs" dxfId="167" priority="28" stopIfTrue="1" operator="lessThan">
      <formula>AB10+AB18+AB19+AB20-AB21-(0.01*(AB10+AB18+AB19+AB20-AB21))</formula>
    </cfRule>
  </conditionalFormatting>
  <conditionalFormatting sqref="AD24">
    <cfRule type="cellIs" dxfId="166" priority="27" stopIfTrue="1" operator="lessThan">
      <formula>0.99*(AD22-AD23)</formula>
    </cfRule>
  </conditionalFormatting>
  <conditionalFormatting sqref="AD10">
    <cfRule type="cellIs" dxfId="165" priority="26" stopIfTrue="1" operator="lessThan">
      <formula>AD8+AD9-(0.01*(AD8+AD9))</formula>
    </cfRule>
  </conditionalFormatting>
  <conditionalFormatting sqref="AD22">
    <cfRule type="cellIs" dxfId="164" priority="25" stopIfTrue="1" operator="lessThan">
      <formula>AD10+AD18+AD19+AD20-AD21-(0.01*(AD10+AD18+AD19+AD20-AD21))</formula>
    </cfRule>
  </conditionalFormatting>
  <conditionalFormatting sqref="AF24">
    <cfRule type="cellIs" dxfId="163" priority="24" stopIfTrue="1" operator="lessThan">
      <formula>0.99*(AF22-AF23)</formula>
    </cfRule>
  </conditionalFormatting>
  <conditionalFormatting sqref="AF10">
    <cfRule type="cellIs" dxfId="162" priority="23" stopIfTrue="1" operator="lessThan">
      <formula>AF8+AF9-(0.01*(AF8+AF9))</formula>
    </cfRule>
  </conditionalFormatting>
  <conditionalFormatting sqref="AF22">
    <cfRule type="cellIs" dxfId="161" priority="22" stopIfTrue="1" operator="lessThan">
      <formula>AF10+AF18+AF19+AF20-AF21-(0.01*(AF10+AF18+AF19+AF20-AF21))</formula>
    </cfRule>
  </conditionalFormatting>
  <conditionalFormatting sqref="AH24">
    <cfRule type="cellIs" dxfId="160" priority="21" stopIfTrue="1" operator="lessThan">
      <formula>0.99*(AH22-AH23)</formula>
    </cfRule>
  </conditionalFormatting>
  <conditionalFormatting sqref="AH10">
    <cfRule type="cellIs" dxfId="159" priority="20" stopIfTrue="1" operator="lessThan">
      <formula>AH8+AH9-(0.01*(AH8+AH9))</formula>
    </cfRule>
  </conditionalFormatting>
  <conditionalFormatting sqref="AH22">
    <cfRule type="cellIs" dxfId="158" priority="19" stopIfTrue="1" operator="lessThan">
      <formula>AH10+AH18+AH19+AH20-AH21-(0.01*(AH10+AH18+AH19+AH20-AH21))</formula>
    </cfRule>
  </conditionalFormatting>
  <conditionalFormatting sqref="AJ24">
    <cfRule type="cellIs" dxfId="157" priority="18" stopIfTrue="1" operator="lessThan">
      <formula>0.99*(AJ22-AJ23)</formula>
    </cfRule>
  </conditionalFormatting>
  <conditionalFormatting sqref="AJ10">
    <cfRule type="cellIs" dxfId="156" priority="17" stopIfTrue="1" operator="lessThan">
      <formula>AJ8+AJ9-(0.01*(AJ8+AJ9))</formula>
    </cfRule>
  </conditionalFormatting>
  <conditionalFormatting sqref="AJ22">
    <cfRule type="cellIs" dxfId="155" priority="16" stopIfTrue="1" operator="lessThan">
      <formula>AJ10+AJ18+AJ19+AJ20-AJ21-(0.01*(AJ10+AJ18+AJ19+AJ20-AJ21))</formula>
    </cfRule>
  </conditionalFormatting>
  <conditionalFormatting sqref="AL24">
    <cfRule type="cellIs" dxfId="154" priority="15" stopIfTrue="1" operator="lessThan">
      <formula>0.99*(AL22-AL23)</formula>
    </cfRule>
  </conditionalFormatting>
  <conditionalFormatting sqref="AL10">
    <cfRule type="cellIs" dxfId="153" priority="14" stopIfTrue="1" operator="lessThan">
      <formula>AL8+AL9-(0.01*(AL8+AL9))</formula>
    </cfRule>
  </conditionalFormatting>
  <conditionalFormatting sqref="AL22">
    <cfRule type="cellIs" dxfId="152" priority="13" stopIfTrue="1" operator="lessThan">
      <formula>AL10+AL18+AL19+AL20-AL21-(0.01*(AL10+AL18+AL19+AL20-AL21))</formula>
    </cfRule>
  </conditionalFormatting>
  <conditionalFormatting sqref="AP24">
    <cfRule type="cellIs" dxfId="151" priority="9" stopIfTrue="1" operator="lessThan">
      <formula>0.99*(AP22-AP23)</formula>
    </cfRule>
  </conditionalFormatting>
  <conditionalFormatting sqref="AP10">
    <cfRule type="cellIs" dxfId="150" priority="8" stopIfTrue="1" operator="lessThan">
      <formula>AP8+AP9-(0.01*(AP8+AP9))</formula>
    </cfRule>
  </conditionalFormatting>
  <conditionalFormatting sqref="AP22">
    <cfRule type="cellIs" dxfId="149" priority="7" stopIfTrue="1" operator="lessThan">
      <formula>AP10+AP18+AP19+AP20-AP21-(0.01*(AP10+AP18+AP19+AP20-AP21))</formula>
    </cfRule>
  </conditionalFormatting>
  <conditionalFormatting sqref="AT24">
    <cfRule type="cellIs" dxfId="148" priority="6" stopIfTrue="1" operator="lessThan">
      <formula>0.99*(AT22-AT23)</formula>
    </cfRule>
  </conditionalFormatting>
  <conditionalFormatting sqref="AT10">
    <cfRule type="cellIs" dxfId="147" priority="5" stopIfTrue="1" operator="lessThan">
      <formula>AT8+AT9-(0.01*(AT8+AT9))</formula>
    </cfRule>
  </conditionalFormatting>
  <conditionalFormatting sqref="AT22">
    <cfRule type="cellIs" dxfId="146" priority="4" stopIfTrue="1" operator="lessThan">
      <formula>AT10+AT18+AT19+AT20-AT21-(0.01*(AT10+AT18+AT19+AT20-AT21))</formula>
    </cfRule>
  </conditionalFormatting>
  <conditionalFormatting sqref="AV24">
    <cfRule type="cellIs" dxfId="145" priority="3" stopIfTrue="1" operator="lessThan">
      <formula>0.99*(AV22-AV23)</formula>
    </cfRule>
  </conditionalFormatting>
  <conditionalFormatting sqref="AV10">
    <cfRule type="cellIs" dxfId="144" priority="2" stopIfTrue="1" operator="lessThan">
      <formula>AV8+AV9-(0.01*(AV8+AV9))</formula>
    </cfRule>
  </conditionalFormatting>
  <conditionalFormatting sqref="AV22">
    <cfRule type="cellIs" dxfId="143" priority="1" stopIfTrue="1" operator="lessThan">
      <formula>AV10+AV18+AV19+AV20-AV21-(0.01*(AV10+AV18+AV19+AV20-AV21))</formula>
    </cfRule>
  </conditionalFormatting>
  <printOptions horizontalCentered="1"/>
  <pageMargins left="0.55118110236220474" right="0.39370078740157483" top="0.19685039370078741" bottom="0.51181102362204722" header="0.19685039370078741" footer="0.23622047244094491"/>
  <pageSetup paperSize="9" scale="60" orientation="landscape" r:id="rId1"/>
  <headerFooter alignWithMargins="0">
    <oddFooter>&amp;C&amp;"Arial,Normal"&amp;8Questionnaire UNSD/PNUE 2013 sur les Statistiques de l'environnement - Section d'eau- p.&amp;P</oddFooter>
  </headerFooter>
  <rowBreaks count="1" manualBreakCount="1">
    <brk id="50" min="2" max="4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DI67"/>
  <sheetViews>
    <sheetView showGridLines="0" topLeftCell="C1" zoomScale="85" zoomScaleNormal="85" zoomScaleSheetLayoutView="85" workbookViewId="0">
      <selection activeCell="C1" sqref="C1"/>
    </sheetView>
  </sheetViews>
  <sheetFormatPr defaultColWidth="9.33203125" defaultRowHeight="12.75" x14ac:dyDescent="0.2"/>
  <cols>
    <col min="1" max="1" width="3.33203125" style="175" hidden="1" customWidth="1"/>
    <col min="2" max="2" width="5.33203125" style="176" hidden="1" customWidth="1"/>
    <col min="3" max="3" width="14.1640625" style="189" customWidth="1"/>
    <col min="4" max="4" width="40" style="189" customWidth="1"/>
    <col min="5" max="5" width="10.1640625" style="189" customWidth="1"/>
    <col min="6" max="6" width="6.6640625" style="189" customWidth="1"/>
    <col min="7" max="7" width="1.83203125" style="189" customWidth="1"/>
    <col min="8" max="8" width="6.6640625" style="263" hidden="1" customWidth="1"/>
    <col min="9" max="9" width="1.83203125" style="264" hidden="1" customWidth="1"/>
    <col min="10" max="10" width="6.6640625" style="264" hidden="1" customWidth="1"/>
    <col min="11" max="11" width="1.83203125" style="264" hidden="1" customWidth="1"/>
    <col min="12" max="12" width="6.6640625" style="264" hidden="1" customWidth="1"/>
    <col min="13" max="13" width="1.83203125" style="264" hidden="1" customWidth="1"/>
    <col min="14" max="14" width="6.6640625" style="264" hidden="1" customWidth="1"/>
    <col min="15" max="15" width="1.83203125" style="264" hidden="1" customWidth="1"/>
    <col min="16" max="16" width="6.6640625" style="265" hidden="1" customWidth="1"/>
    <col min="17" max="17" width="1.83203125" style="264" hidden="1" customWidth="1"/>
    <col min="18" max="18" width="6.6640625" style="265" hidden="1" customWidth="1"/>
    <col min="19" max="19" width="1.83203125" style="264" hidden="1" customWidth="1"/>
    <col min="20" max="20" width="6.6640625" style="265" hidden="1" customWidth="1"/>
    <col min="21" max="21" width="1.83203125" style="264" hidden="1" customWidth="1"/>
    <col min="22" max="22" width="6.6640625" style="265" hidden="1" customWidth="1"/>
    <col min="23" max="23" width="1.83203125" style="264" hidden="1" customWidth="1"/>
    <col min="24" max="24" width="6.6640625" style="263" hidden="1" customWidth="1"/>
    <col min="25" max="25" width="1.83203125" style="264" hidden="1" customWidth="1"/>
    <col min="26" max="26" width="6.6640625" style="263" customWidth="1"/>
    <col min="27" max="27" width="1.83203125" style="264" customWidth="1"/>
    <col min="28" max="28" width="6.6640625" style="263" customWidth="1"/>
    <col min="29" max="29" width="1.83203125" style="264" customWidth="1"/>
    <col min="30" max="30" width="8.1640625" style="263" customWidth="1"/>
    <col min="31" max="31" width="1.83203125" style="264" customWidth="1"/>
    <col min="32" max="32" width="6.6640625" style="263" customWidth="1"/>
    <col min="33" max="33" width="1.6640625" style="264" customWidth="1"/>
    <col min="34" max="34" width="6.6640625" style="263" customWidth="1"/>
    <col min="35" max="35" width="1.83203125" style="264" customWidth="1"/>
    <col min="36" max="36" width="6.6640625" style="265" customWidth="1"/>
    <col min="37" max="37" width="1.83203125" style="264" customWidth="1"/>
    <col min="38" max="38" width="6.6640625" style="263" customWidth="1"/>
    <col min="39" max="39" width="1.83203125" style="264" customWidth="1"/>
    <col min="40" max="40" width="6.6640625" style="263" customWidth="1"/>
    <col min="41" max="41" width="1.83203125" style="264" customWidth="1"/>
    <col min="42" max="42" width="6.6640625" style="264" customWidth="1"/>
    <col min="43" max="43" width="1.83203125" style="264" customWidth="1"/>
    <col min="44" max="44" width="6.6640625" style="264" customWidth="1"/>
    <col min="45" max="45" width="1.83203125" style="264" customWidth="1"/>
    <col min="46" max="46" width="6.6640625" style="263" customWidth="1"/>
    <col min="47" max="47" width="1.83203125" style="264" customWidth="1"/>
    <col min="48" max="48" width="6.6640625" style="263" customWidth="1"/>
    <col min="49" max="49" width="1.83203125" style="264" customWidth="1"/>
    <col min="50" max="50" width="1.83203125" style="189" customWidth="1"/>
    <col min="51" max="51" width="4.83203125" style="187" customWidth="1"/>
    <col min="52" max="52" width="7.1640625" style="187" customWidth="1"/>
    <col min="53" max="53" width="40.5" style="187" customWidth="1"/>
    <col min="54" max="54" width="10.6640625" style="187" customWidth="1"/>
    <col min="55" max="55" width="7" style="187" customWidth="1"/>
    <col min="56" max="56" width="0.1640625" style="187" customWidth="1"/>
    <col min="57" max="57" width="7" style="187" customWidth="1"/>
    <col min="58" max="58" width="0.5" style="187" customWidth="1"/>
    <col min="59" max="59" width="6.83203125" style="187" customWidth="1"/>
    <col min="60" max="60" width="0.1640625" style="187" customWidth="1"/>
    <col min="61" max="61" width="7" style="187" customWidth="1"/>
    <col min="62" max="62" width="7" style="187" hidden="1" customWidth="1"/>
    <col min="63" max="63" width="7" style="187" customWidth="1"/>
    <col min="64" max="64" width="7" style="187" hidden="1" customWidth="1"/>
    <col min="65" max="65" width="7" style="187" customWidth="1"/>
    <col min="66" max="66" width="0.5" style="187" customWidth="1"/>
    <col min="67" max="67" width="7" style="187" customWidth="1"/>
    <col min="68" max="68" width="0.33203125" style="187" customWidth="1"/>
    <col min="69" max="69" width="7" style="187" customWidth="1"/>
    <col min="70" max="70" width="0.1640625" style="187" customWidth="1"/>
    <col min="71" max="71" width="7" style="187" customWidth="1"/>
    <col min="72" max="72" width="0.1640625" style="187" customWidth="1"/>
    <col min="73" max="73" width="7" style="187" customWidth="1"/>
    <col min="74" max="74" width="0.1640625" style="187" customWidth="1"/>
    <col min="75" max="75" width="7" style="187" customWidth="1"/>
    <col min="76" max="76" width="0.1640625" style="187" customWidth="1"/>
    <col min="77" max="77" width="7" style="187" customWidth="1"/>
    <col min="78" max="78" width="0.1640625" style="187" customWidth="1"/>
    <col min="79" max="79" width="7" style="187" customWidth="1"/>
    <col min="80" max="80" width="0.1640625" style="187" customWidth="1"/>
    <col min="81" max="81" width="7" style="187" customWidth="1"/>
    <col min="82" max="82" width="0.1640625" style="187" customWidth="1"/>
    <col min="83" max="83" width="7" style="187" customWidth="1"/>
    <col min="84" max="84" width="0.1640625" style="187" customWidth="1"/>
    <col min="85" max="85" width="7" style="187" customWidth="1"/>
    <col min="86" max="86" width="0.1640625" style="187" customWidth="1"/>
    <col min="87" max="87" width="7" style="187" customWidth="1"/>
    <col min="88" max="88" width="0.1640625" style="187" customWidth="1"/>
    <col min="89" max="89" width="7" style="187" customWidth="1"/>
    <col min="90" max="90" width="0.1640625" style="187" customWidth="1"/>
    <col min="91" max="91" width="7" style="187" customWidth="1"/>
    <col min="92" max="92" width="0.1640625" style="187" customWidth="1"/>
    <col min="93" max="93" width="7" style="187" customWidth="1"/>
    <col min="94" max="94" width="0.1640625" style="187" customWidth="1"/>
    <col min="95" max="95" width="7" style="187" customWidth="1"/>
    <col min="96" max="96" width="0.1640625" style="187" customWidth="1"/>
    <col min="97" max="97" width="7" style="187" customWidth="1"/>
    <col min="98" max="98" width="0.1640625" style="187" customWidth="1"/>
    <col min="99" max="16384" width="9.33203125" style="189"/>
  </cols>
  <sheetData>
    <row r="1" spans="1:101" s="424" customFormat="1" ht="16.5" customHeight="1" x14ac:dyDescent="0.25">
      <c r="A1" s="423"/>
      <c r="B1" s="176">
        <v>0</v>
      </c>
      <c r="C1" s="177" t="s">
        <v>171</v>
      </c>
      <c r="D1" s="177"/>
      <c r="E1" s="321"/>
      <c r="F1" s="321"/>
      <c r="G1" s="321"/>
      <c r="H1" s="322"/>
      <c r="I1" s="323"/>
      <c r="J1" s="323"/>
      <c r="K1" s="323"/>
      <c r="L1" s="323"/>
      <c r="M1" s="323"/>
      <c r="N1" s="323"/>
      <c r="O1" s="323"/>
      <c r="P1" s="324"/>
      <c r="Q1" s="323"/>
      <c r="R1" s="324"/>
      <c r="S1" s="323"/>
      <c r="T1" s="324"/>
      <c r="U1" s="323"/>
      <c r="V1" s="324"/>
      <c r="W1" s="323"/>
      <c r="X1" s="322"/>
      <c r="Y1" s="323"/>
      <c r="Z1" s="322"/>
      <c r="AA1" s="323"/>
      <c r="AB1" s="322"/>
      <c r="AC1" s="323"/>
      <c r="AD1" s="322"/>
      <c r="AE1" s="323"/>
      <c r="AF1" s="322"/>
      <c r="AG1" s="323"/>
      <c r="AH1" s="322"/>
      <c r="AI1" s="323"/>
      <c r="AJ1" s="324"/>
      <c r="AK1" s="323"/>
      <c r="AL1" s="322"/>
      <c r="AM1" s="323"/>
      <c r="AN1" s="322"/>
      <c r="AO1" s="323"/>
      <c r="AP1" s="323"/>
      <c r="AQ1" s="323"/>
      <c r="AR1" s="323"/>
      <c r="AS1" s="323"/>
      <c r="AT1" s="322"/>
      <c r="AU1" s="323"/>
      <c r="AV1" s="322"/>
      <c r="AW1" s="323"/>
      <c r="AX1" s="571"/>
      <c r="AY1" s="206"/>
      <c r="AZ1" s="188" t="s">
        <v>470</v>
      </c>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206"/>
    </row>
    <row r="2" spans="1:101" ht="14.25" customHeight="1" x14ac:dyDescent="0.2">
      <c r="E2" s="325"/>
      <c r="F2" s="325"/>
      <c r="G2" s="325"/>
      <c r="H2" s="326"/>
      <c r="I2" s="327"/>
      <c r="J2" s="327"/>
      <c r="K2" s="327"/>
      <c r="L2" s="327"/>
      <c r="M2" s="327"/>
      <c r="N2" s="327"/>
      <c r="O2" s="327"/>
      <c r="P2" s="328"/>
      <c r="Q2" s="327"/>
      <c r="R2" s="328"/>
      <c r="S2" s="327"/>
      <c r="T2" s="328"/>
      <c r="U2" s="327"/>
      <c r="V2" s="328"/>
      <c r="W2" s="327"/>
      <c r="X2" s="329"/>
    </row>
    <row r="3" spans="1:101" s="346" customFormat="1" ht="21" customHeight="1" x14ac:dyDescent="0.25">
      <c r="A3" s="275"/>
      <c r="B3" s="275">
        <v>504</v>
      </c>
      <c r="C3" s="330" t="s">
        <v>323</v>
      </c>
      <c r="D3" s="25" t="s">
        <v>102</v>
      </c>
      <c r="E3" s="412"/>
      <c r="F3" s="413"/>
      <c r="G3" s="414"/>
      <c r="H3" s="415"/>
      <c r="I3" s="416"/>
      <c r="J3" s="416"/>
      <c r="K3" s="416"/>
      <c r="L3" s="416"/>
      <c r="M3" s="416"/>
      <c r="N3" s="416"/>
      <c r="O3" s="416"/>
      <c r="P3" s="415"/>
      <c r="Q3" s="416"/>
      <c r="R3" s="415"/>
      <c r="S3" s="416"/>
      <c r="T3" s="415"/>
      <c r="U3" s="416"/>
      <c r="V3" s="415"/>
      <c r="W3" s="414"/>
      <c r="X3" s="415"/>
      <c r="Y3" s="417"/>
      <c r="Z3" s="105"/>
      <c r="AA3" s="417"/>
      <c r="AB3" s="53"/>
      <c r="AC3" s="330" t="s">
        <v>297</v>
      </c>
      <c r="AD3" s="332"/>
      <c r="AE3" s="331"/>
      <c r="AF3" s="332"/>
      <c r="AG3" s="333"/>
      <c r="AH3" s="332"/>
      <c r="AI3" s="671" t="s">
        <v>646</v>
      </c>
      <c r="AJ3" s="670"/>
      <c r="AK3" s="414"/>
      <c r="AL3" s="670"/>
      <c r="AM3" s="414"/>
      <c r="AN3" s="415"/>
      <c r="AO3" s="418"/>
      <c r="AP3" s="418"/>
      <c r="AQ3" s="418"/>
      <c r="AR3" s="418"/>
      <c r="AS3" s="418"/>
      <c r="AT3" s="419"/>
      <c r="AU3" s="419"/>
      <c r="AV3" s="419"/>
      <c r="AW3" s="419"/>
      <c r="AX3" s="419"/>
      <c r="AY3" s="425"/>
      <c r="AZ3" s="337" t="s">
        <v>444</v>
      </c>
      <c r="BA3" s="426"/>
      <c r="BB3" s="426"/>
      <c r="BC3" s="344"/>
      <c r="BD3" s="344"/>
      <c r="BE3" s="344"/>
      <c r="BF3" s="344"/>
      <c r="BG3" s="810"/>
      <c r="BH3" s="810"/>
      <c r="BI3" s="810"/>
      <c r="BJ3" s="428"/>
      <c r="BK3" s="428"/>
      <c r="BL3" s="428"/>
      <c r="BM3" s="810"/>
      <c r="BN3" s="810"/>
      <c r="BO3" s="810"/>
      <c r="BP3" s="428"/>
      <c r="BQ3" s="428"/>
      <c r="BR3" s="428"/>
      <c r="BS3" s="428"/>
      <c r="BT3" s="428"/>
      <c r="BU3" s="428"/>
      <c r="BV3" s="428"/>
      <c r="BW3" s="344"/>
      <c r="BX3" s="344"/>
      <c r="BY3" s="344"/>
      <c r="BZ3" s="344"/>
      <c r="CA3" s="344"/>
      <c r="CB3" s="344"/>
      <c r="CC3" s="429"/>
      <c r="CD3" s="429"/>
      <c r="CE3" s="429"/>
      <c r="CF3" s="429"/>
      <c r="CG3" s="344"/>
      <c r="CH3" s="344"/>
      <c r="CI3" s="344"/>
      <c r="CJ3" s="344"/>
      <c r="CK3" s="344"/>
      <c r="CL3" s="344"/>
      <c r="CM3" s="344"/>
      <c r="CN3" s="344"/>
      <c r="CO3" s="344"/>
      <c r="CP3" s="344"/>
      <c r="CQ3" s="344"/>
      <c r="CR3" s="344"/>
      <c r="CS3" s="344"/>
      <c r="CT3" s="344"/>
      <c r="CU3" s="345"/>
      <c r="CV3" s="345"/>
      <c r="CW3" s="345"/>
    </row>
    <row r="4" spans="1:101" ht="15.75" customHeight="1" x14ac:dyDescent="0.2">
      <c r="E4" s="347"/>
      <c r="F4" s="347"/>
      <c r="G4" s="347"/>
      <c r="Y4" s="334"/>
      <c r="Z4" s="329"/>
      <c r="AL4" s="326"/>
      <c r="AM4" s="327"/>
      <c r="AZ4" s="313"/>
    </row>
    <row r="5" spans="1:101" s="424" customFormat="1" ht="17.25" customHeight="1" x14ac:dyDescent="0.25">
      <c r="A5" s="423"/>
      <c r="B5" s="176">
        <v>17</v>
      </c>
      <c r="C5" s="769" t="s">
        <v>539</v>
      </c>
      <c r="D5" s="769"/>
      <c r="E5" s="815"/>
      <c r="F5" s="815"/>
      <c r="G5" s="815"/>
      <c r="H5" s="815"/>
      <c r="I5" s="771"/>
      <c r="J5" s="771"/>
      <c r="K5" s="771"/>
      <c r="L5" s="771"/>
      <c r="M5" s="771"/>
      <c r="N5" s="771"/>
      <c r="O5" s="771"/>
      <c r="P5" s="771"/>
      <c r="Q5" s="771"/>
      <c r="R5" s="771"/>
      <c r="S5" s="771"/>
      <c r="T5" s="771"/>
      <c r="U5" s="771"/>
      <c r="V5" s="771"/>
      <c r="W5" s="771"/>
      <c r="X5" s="815"/>
      <c r="Y5" s="771"/>
      <c r="Z5" s="815"/>
      <c r="AA5" s="771"/>
      <c r="AB5" s="815"/>
      <c r="AC5" s="771"/>
      <c r="AD5" s="815"/>
      <c r="AE5" s="771"/>
      <c r="AF5" s="815"/>
      <c r="AG5" s="771"/>
      <c r="AH5" s="815"/>
      <c r="AI5" s="771"/>
      <c r="AJ5" s="771"/>
      <c r="AK5" s="771"/>
      <c r="AL5" s="815"/>
      <c r="AM5" s="771"/>
      <c r="AN5" s="815"/>
      <c r="AO5" s="348"/>
      <c r="AP5" s="348"/>
      <c r="AQ5" s="348"/>
      <c r="AR5" s="348"/>
      <c r="AS5" s="348"/>
      <c r="AT5" s="349"/>
      <c r="AU5" s="348"/>
      <c r="AV5" s="349"/>
      <c r="AW5" s="348"/>
      <c r="AX5" s="430"/>
      <c r="AY5" s="206"/>
      <c r="AZ5" s="350" t="s">
        <v>445</v>
      </c>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206"/>
    </row>
    <row r="6" spans="1:101" s="432" customFormat="1" ht="14.25" customHeight="1" x14ac:dyDescent="0.25">
      <c r="A6" s="431"/>
      <c r="B6" s="176"/>
      <c r="C6" s="818" t="s">
        <v>324</v>
      </c>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6" t="s">
        <v>519</v>
      </c>
      <c r="AH6" s="817"/>
      <c r="AI6" s="817"/>
      <c r="AJ6" s="817"/>
      <c r="AK6" s="817"/>
      <c r="AL6" s="817"/>
      <c r="AM6" s="817"/>
      <c r="AN6" s="817"/>
      <c r="AO6" s="817"/>
      <c r="AP6" s="817"/>
      <c r="AQ6" s="817"/>
      <c r="AR6" s="817"/>
      <c r="AS6" s="817"/>
      <c r="AT6" s="817"/>
      <c r="AU6" s="817"/>
      <c r="AV6" s="817"/>
      <c r="AW6" s="356"/>
      <c r="AX6" s="210"/>
      <c r="AY6" s="209"/>
      <c r="AZ6" s="357" t="s">
        <v>628</v>
      </c>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206"/>
    </row>
    <row r="7" spans="1:101" s="222" customFormat="1" ht="21.75" customHeight="1" x14ac:dyDescent="0.2">
      <c r="A7" s="215"/>
      <c r="B7" s="216">
        <v>2</v>
      </c>
      <c r="C7" s="218" t="s">
        <v>299</v>
      </c>
      <c r="D7" s="218" t="s">
        <v>300</v>
      </c>
      <c r="E7" s="218" t="s">
        <v>301</v>
      </c>
      <c r="F7" s="217">
        <v>1990</v>
      </c>
      <c r="G7" s="217"/>
      <c r="H7" s="217">
        <v>1995</v>
      </c>
      <c r="I7" s="217"/>
      <c r="J7" s="217">
        <v>1996</v>
      </c>
      <c r="K7" s="217"/>
      <c r="L7" s="217">
        <v>1997</v>
      </c>
      <c r="M7" s="217"/>
      <c r="N7" s="217">
        <v>1998</v>
      </c>
      <c r="O7" s="217"/>
      <c r="P7" s="217">
        <v>1999</v>
      </c>
      <c r="Q7" s="217"/>
      <c r="R7" s="217">
        <v>2000</v>
      </c>
      <c r="S7" s="217"/>
      <c r="T7" s="217">
        <v>2001</v>
      </c>
      <c r="U7" s="217"/>
      <c r="V7" s="217">
        <v>2002</v>
      </c>
      <c r="W7" s="217"/>
      <c r="X7" s="217">
        <v>2003</v>
      </c>
      <c r="Y7" s="217"/>
      <c r="Z7" s="217">
        <v>2004</v>
      </c>
      <c r="AA7" s="217"/>
      <c r="AB7" s="217">
        <v>2005</v>
      </c>
      <c r="AC7" s="217"/>
      <c r="AD7" s="217">
        <v>2006</v>
      </c>
      <c r="AE7" s="217"/>
      <c r="AF7" s="217">
        <v>2007</v>
      </c>
      <c r="AG7" s="217"/>
      <c r="AH7" s="217">
        <v>2008</v>
      </c>
      <c r="AI7" s="217"/>
      <c r="AJ7" s="217">
        <v>2009</v>
      </c>
      <c r="AK7" s="217"/>
      <c r="AL7" s="217">
        <v>2010</v>
      </c>
      <c r="AM7" s="217"/>
      <c r="AN7" s="217">
        <v>2011</v>
      </c>
      <c r="AO7" s="217"/>
      <c r="AP7" s="217">
        <v>2012</v>
      </c>
      <c r="AQ7" s="217"/>
      <c r="AR7" s="217">
        <v>2013</v>
      </c>
      <c r="AS7" s="217"/>
      <c r="AT7" s="217">
        <v>2014</v>
      </c>
      <c r="AU7" s="217"/>
      <c r="AV7" s="217">
        <v>2015</v>
      </c>
      <c r="AW7" s="219"/>
      <c r="AY7" s="221"/>
      <c r="AZ7" s="218" t="s">
        <v>600</v>
      </c>
      <c r="BA7" s="218" t="s">
        <v>601</v>
      </c>
      <c r="BB7" s="218" t="s">
        <v>603</v>
      </c>
      <c r="BC7" s="217">
        <v>1990</v>
      </c>
      <c r="BD7" s="217"/>
      <c r="BE7" s="218">
        <v>1995</v>
      </c>
      <c r="BF7" s="218"/>
      <c r="BG7" s="218">
        <v>1996</v>
      </c>
      <c r="BH7" s="218"/>
      <c r="BI7" s="218">
        <v>1997</v>
      </c>
      <c r="BJ7" s="218"/>
      <c r="BK7" s="218">
        <v>1998</v>
      </c>
      <c r="BL7" s="218"/>
      <c r="BM7" s="218">
        <v>1999</v>
      </c>
      <c r="BN7" s="218"/>
      <c r="BO7" s="218">
        <v>2000</v>
      </c>
      <c r="BP7" s="218"/>
      <c r="BQ7" s="218">
        <v>2001</v>
      </c>
      <c r="BR7" s="218"/>
      <c r="BS7" s="218">
        <v>2002</v>
      </c>
      <c r="BT7" s="218"/>
      <c r="BU7" s="218">
        <v>2003</v>
      </c>
      <c r="BV7" s="218"/>
      <c r="BW7" s="218">
        <v>2004</v>
      </c>
      <c r="BX7" s="218"/>
      <c r="BY7" s="218">
        <v>2005</v>
      </c>
      <c r="BZ7" s="218"/>
      <c r="CA7" s="218">
        <v>2006</v>
      </c>
      <c r="CB7" s="218"/>
      <c r="CC7" s="218">
        <v>2007</v>
      </c>
      <c r="CD7" s="218"/>
      <c r="CE7" s="218">
        <v>2008</v>
      </c>
      <c r="CF7" s="218"/>
      <c r="CG7" s="218">
        <v>2009</v>
      </c>
      <c r="CH7" s="218"/>
      <c r="CI7" s="218">
        <v>2010</v>
      </c>
      <c r="CJ7" s="218"/>
      <c r="CK7" s="218">
        <v>2011</v>
      </c>
      <c r="CL7" s="218"/>
      <c r="CM7" s="218">
        <v>2012</v>
      </c>
      <c r="CN7" s="218"/>
      <c r="CO7" s="218">
        <v>2013</v>
      </c>
      <c r="CP7" s="218"/>
      <c r="CQ7" s="218">
        <v>2014</v>
      </c>
      <c r="CR7" s="218"/>
      <c r="CS7" s="218">
        <v>2015</v>
      </c>
      <c r="CT7" s="219"/>
    </row>
    <row r="8" spans="1:101" s="186" customFormat="1" ht="42" customHeight="1" x14ac:dyDescent="0.2">
      <c r="A8" s="175"/>
      <c r="B8" s="224">
        <v>275</v>
      </c>
      <c r="C8" s="375">
        <v>1</v>
      </c>
      <c r="D8" s="241" t="s">
        <v>263</v>
      </c>
      <c r="E8" s="244" t="s">
        <v>302</v>
      </c>
      <c r="F8" s="582"/>
      <c r="G8" s="593"/>
      <c r="H8" s="582"/>
      <c r="I8" s="593"/>
      <c r="J8" s="582"/>
      <c r="K8" s="593"/>
      <c r="L8" s="582"/>
      <c r="M8" s="593"/>
      <c r="N8" s="582"/>
      <c r="O8" s="593"/>
      <c r="P8" s="582"/>
      <c r="Q8" s="593"/>
      <c r="R8" s="582"/>
      <c r="S8" s="593"/>
      <c r="T8" s="582"/>
      <c r="U8" s="593"/>
      <c r="V8" s="582"/>
      <c r="W8" s="593"/>
      <c r="X8" s="582"/>
      <c r="Y8" s="593"/>
      <c r="Z8" s="582"/>
      <c r="AA8" s="593"/>
      <c r="AB8" s="582"/>
      <c r="AC8" s="593"/>
      <c r="AD8" s="582"/>
      <c r="AE8" s="593"/>
      <c r="AF8" s="582"/>
      <c r="AG8" s="593"/>
      <c r="AH8" s="582"/>
      <c r="AI8" s="593"/>
      <c r="AJ8" s="582"/>
      <c r="AK8" s="593"/>
      <c r="AL8" s="582"/>
      <c r="AM8" s="593"/>
      <c r="AN8" s="582"/>
      <c r="AO8" s="593"/>
      <c r="AP8" s="582"/>
      <c r="AQ8" s="593"/>
      <c r="AR8" s="582"/>
      <c r="AS8" s="593"/>
      <c r="AT8" s="582"/>
      <c r="AU8" s="593"/>
      <c r="AV8" s="582"/>
      <c r="AW8" s="593"/>
      <c r="AY8" s="187"/>
      <c r="AZ8" s="366">
        <v>1</v>
      </c>
      <c r="BA8" s="243" t="s">
        <v>414</v>
      </c>
      <c r="BB8" s="433" t="s">
        <v>468</v>
      </c>
      <c r="BC8" s="232" t="s">
        <v>471</v>
      </c>
      <c r="BD8" s="238"/>
      <c r="BE8" s="78" t="str">
        <f>IF(OR(ISBLANK(F8),ISBLANK(H8)),"N/A",IF(ABS((H8-F8)/F8)&gt;1,"&gt; 100%","ok"))</f>
        <v>N/A</v>
      </c>
      <c r="BF8" s="238"/>
      <c r="BG8" s="81" t="str">
        <f>IF(OR(ISBLANK(H8),ISBLANK(J8)),"N/A",IF(ABS((J8-H8)/H8)&gt;0.25,"&gt; 25%","ok"))</f>
        <v>N/A</v>
      </c>
      <c r="BH8" s="81"/>
      <c r="BI8" s="81" t="str">
        <f>IF(OR(ISBLANK(J8),ISBLANK(L8)),"N/A",IF(ABS((L8-J8)/J8)&gt;0.25,"&gt; 25%","ok"))</f>
        <v>N/A</v>
      </c>
      <c r="BJ8" s="81"/>
      <c r="BK8" s="81" t="str">
        <f>IF(OR(ISBLANK(L8),ISBLANK(N8)),"N/A",IF(ABS((N8-L8)/L8)&gt;0.25,"&gt; 25%","ok"))</f>
        <v>N/A</v>
      </c>
      <c r="BL8" s="81"/>
      <c r="BM8" s="81" t="str">
        <f>IF(OR(ISBLANK(N8),ISBLANK(P8)),"N/A",IF(ABS((P8-N8)/N8)&gt;0.25,"&gt; 25%","ok"))</f>
        <v>N/A</v>
      </c>
      <c r="BN8" s="81"/>
      <c r="BO8" s="81" t="str">
        <f t="shared" ref="BO8:BO16" si="0">IF(OR(ISBLANK(P8),ISBLANK(R8)),"N/A",IF(ABS((R8-P8)/P8)&gt;0.25,"&gt; 25%","ok"))</f>
        <v>N/A</v>
      </c>
      <c r="BP8" s="81"/>
      <c r="BQ8" s="81" t="str">
        <f t="shared" ref="BQ8:BQ16" si="1">IF(OR(ISBLANK(R8),ISBLANK(T8)),"N/A",IF(ABS((T8-R8)/R8)&gt;0.25,"&gt; 25%","ok"))</f>
        <v>N/A</v>
      </c>
      <c r="BR8" s="81"/>
      <c r="BS8" s="81" t="str">
        <f t="shared" ref="BS8:BS16" si="2">IF(OR(ISBLANK(T8),ISBLANK(V8)),"N/A",IF(ABS((V8-T8)/T8)&gt;0.25,"&gt; 25%","ok"))</f>
        <v>N/A</v>
      </c>
      <c r="BT8" s="81"/>
      <c r="BU8" s="81" t="str">
        <f t="shared" ref="BU8:BU16" si="3">IF(OR(ISBLANK(V8),ISBLANK(X8)),"N/A",IF(ABS((X8-V8)/V8)&gt;0.25,"&gt; 25%","ok"))</f>
        <v>N/A</v>
      </c>
      <c r="BV8" s="81"/>
      <c r="BW8" s="81" t="str">
        <f t="shared" ref="BW8:BW16" si="4">IF(OR(ISBLANK(X8),ISBLANK(Z8)),"N/A",IF(ABS((Z8-X8)/X8)&gt;0.25,"&gt; 25%","ok"))</f>
        <v>N/A</v>
      </c>
      <c r="BX8" s="81"/>
      <c r="BY8" s="81" t="str">
        <f t="shared" ref="BY8:BY16" si="5">IF(OR(ISBLANK(Z8),ISBLANK(AB8)),"N/A",IF(ABS((AB8-Z8)/Z8)&gt;0.25,"&gt; 25%","ok"))</f>
        <v>N/A</v>
      </c>
      <c r="BZ8" s="81"/>
      <c r="CA8" s="81" t="str">
        <f t="shared" ref="CA8:CA16" si="6">IF(OR(ISBLANK(AB8),ISBLANK(AD8)),"N/A",IF(ABS((AD8-AB8)/AB8)&gt;0.25,"&gt; 25%","ok"))</f>
        <v>N/A</v>
      </c>
      <c r="CB8" s="81"/>
      <c r="CC8" s="81" t="str">
        <f t="shared" ref="CC8:CC16" si="7">IF(OR(ISBLANK(AD8),ISBLANK(AF8)),"N/A",IF(ABS((AF8-AD8)/AD8)&gt;0.25,"&gt; 25%","ok"))</f>
        <v>N/A</v>
      </c>
      <c r="CD8" s="81"/>
      <c r="CE8" s="81" t="str">
        <f t="shared" ref="CE8:CE16" si="8">IF(OR(ISBLANK(AF8),ISBLANK(AH8)),"N/A",IF(ABS((AH8-AF8)/AF8)&gt;0.25,"&gt; 25%","ok"))</f>
        <v>N/A</v>
      </c>
      <c r="CF8" s="81"/>
      <c r="CG8" s="81" t="str">
        <f t="shared" ref="CG8:CG16" si="9">IF(OR(ISBLANK(AH8),ISBLANK(AJ8)),"N/A",IF(ABS((AJ8-AH8)/AH8)&gt;0.25,"&gt; 25%","ok"))</f>
        <v>N/A</v>
      </c>
      <c r="CH8" s="81"/>
      <c r="CI8" s="81" t="str">
        <f t="shared" ref="CI8:CI16" si="10">IF(OR(ISBLANK(AJ8),ISBLANK(AL8)),"N/A",IF(ABS((AL8-AJ8)/AJ8)&gt;0.25,"&gt; 25%","ok"))</f>
        <v>N/A</v>
      </c>
      <c r="CJ8" s="81"/>
      <c r="CK8" s="81" t="str">
        <f t="shared" ref="CK8:CK16" si="11">IF(OR(ISBLANK(AL8),ISBLANK(AN8)),"N/A",IF(ABS((AN8-AL8)/AL8)&gt;0.25,"&gt; 25%","ok"))</f>
        <v>N/A</v>
      </c>
      <c r="CL8" s="81"/>
      <c r="CM8" s="81" t="str">
        <f>IF(OR(ISBLANK(AN8),ISBLANK(AP8)),"N/A",IF(ABS((AP8-AN8)/AN8)&gt;0.25,"&gt; 25%","ok"))</f>
        <v>N/A</v>
      </c>
      <c r="CN8" s="81"/>
      <c r="CO8" s="81" t="str">
        <f>IF(OR(ISBLANK(AP8),ISBLANK(AR8)),"N/A",IF(ABS((AR8-AP8)/AP8)&gt;0.25,"&gt; 25%","ok"))</f>
        <v>N/A</v>
      </c>
      <c r="CP8" s="81"/>
      <c r="CQ8" s="81" t="str">
        <f>IF(OR(ISBLANK(AR8),ISBLANK(AT8)),"N/A",IF(ABS((AT8-AR8)/AR8)&gt;0.25,"&gt; 25%","ok"))</f>
        <v>N/A</v>
      </c>
      <c r="CR8" s="81"/>
      <c r="CS8" s="81" t="str">
        <f>IF(OR(ISBLANK(AT8),ISBLANK(AV8)),"N/A",IF(ABS((AV8-AT8)/AT8)&gt;0.25,"&gt; 25%","ok"))</f>
        <v>N/A</v>
      </c>
      <c r="CT8" s="81"/>
    </row>
    <row r="9" spans="1:101" s="186" customFormat="1" ht="18" customHeight="1" x14ac:dyDescent="0.2">
      <c r="A9" s="175"/>
      <c r="B9" s="224">
        <v>2416</v>
      </c>
      <c r="C9" s="242">
        <v>2</v>
      </c>
      <c r="D9" s="239" t="s">
        <v>354</v>
      </c>
      <c r="E9" s="244" t="s">
        <v>302</v>
      </c>
      <c r="F9" s="582"/>
      <c r="G9" s="593"/>
      <c r="H9" s="582"/>
      <c r="I9" s="593"/>
      <c r="J9" s="582"/>
      <c r="K9" s="593"/>
      <c r="L9" s="582"/>
      <c r="M9" s="593"/>
      <c r="N9" s="582"/>
      <c r="O9" s="593"/>
      <c r="P9" s="582"/>
      <c r="Q9" s="593"/>
      <c r="R9" s="582"/>
      <c r="S9" s="593"/>
      <c r="T9" s="582"/>
      <c r="U9" s="593"/>
      <c r="V9" s="582"/>
      <c r="W9" s="593"/>
      <c r="X9" s="582"/>
      <c r="Y9" s="593"/>
      <c r="Z9" s="582"/>
      <c r="AA9" s="593"/>
      <c r="AB9" s="582"/>
      <c r="AC9" s="593"/>
      <c r="AD9" s="582"/>
      <c r="AE9" s="593"/>
      <c r="AF9" s="582"/>
      <c r="AG9" s="593"/>
      <c r="AH9" s="582"/>
      <c r="AI9" s="593"/>
      <c r="AJ9" s="582"/>
      <c r="AK9" s="593"/>
      <c r="AL9" s="582"/>
      <c r="AM9" s="593"/>
      <c r="AN9" s="582"/>
      <c r="AO9" s="593"/>
      <c r="AP9" s="582"/>
      <c r="AQ9" s="593"/>
      <c r="AR9" s="582"/>
      <c r="AS9" s="593"/>
      <c r="AT9" s="582"/>
      <c r="AU9" s="593"/>
      <c r="AV9" s="582"/>
      <c r="AW9" s="593"/>
      <c r="AY9" s="187"/>
      <c r="AZ9" s="80">
        <v>2</v>
      </c>
      <c r="BA9" s="237" t="s">
        <v>415</v>
      </c>
      <c r="BB9" s="80" t="s">
        <v>468</v>
      </c>
      <c r="BC9" s="80" t="s">
        <v>471</v>
      </c>
      <c r="BD9" s="238"/>
      <c r="BE9" s="78" t="str">
        <f t="shared" ref="BE9:BE16" si="12">IF(OR(ISBLANK(F9),ISBLANK(H9)),"N/A",IF(ABS((H9-F9)/F9)&gt;1,"&gt; 100%","ok"))</f>
        <v>N/A</v>
      </c>
      <c r="BF9" s="238"/>
      <c r="BG9" s="81" t="str">
        <f>IF(OR(ISBLANK(H9),ISBLANK(J9)),"N/A",IF(ABS((J9-H9)/H9)&gt;0.25,"&gt; 25%","ok"))</f>
        <v>N/A</v>
      </c>
      <c r="BH9" s="81"/>
      <c r="BI9" s="81" t="str">
        <f>IF(OR(ISBLANK(J9),ISBLANK(L9)),"N/A",IF(ABS((L9-J9)/J9)&gt;0.25,"&gt; 25%","ok"))</f>
        <v>N/A</v>
      </c>
      <c r="BJ9" s="81"/>
      <c r="BK9" s="81" t="str">
        <f>IF(OR(ISBLANK(L9),ISBLANK(N9)),"N/A",IF(ABS((N9-L9)/L9)&gt;0.25,"&gt; 25%","ok"))</f>
        <v>N/A</v>
      </c>
      <c r="BL9" s="81"/>
      <c r="BM9" s="81" t="str">
        <f>IF(OR(ISBLANK(N9),ISBLANK(P9)),"N/A",IF(ABS((P9-N9)/N9)&gt;0.25,"&gt; 25%","ok"))</f>
        <v>N/A</v>
      </c>
      <c r="BN9" s="81"/>
      <c r="BO9" s="81" t="str">
        <f t="shared" si="0"/>
        <v>N/A</v>
      </c>
      <c r="BP9" s="81"/>
      <c r="BQ9" s="81" t="str">
        <f t="shared" si="1"/>
        <v>N/A</v>
      </c>
      <c r="BR9" s="81"/>
      <c r="BS9" s="81" t="str">
        <f t="shared" si="2"/>
        <v>N/A</v>
      </c>
      <c r="BT9" s="81"/>
      <c r="BU9" s="81" t="str">
        <f t="shared" si="3"/>
        <v>N/A</v>
      </c>
      <c r="BV9" s="81"/>
      <c r="BW9" s="81" t="str">
        <f t="shared" si="4"/>
        <v>N/A</v>
      </c>
      <c r="BX9" s="81"/>
      <c r="BY9" s="81" t="str">
        <f t="shared" si="5"/>
        <v>N/A</v>
      </c>
      <c r="BZ9" s="81"/>
      <c r="CA9" s="81" t="str">
        <f t="shared" si="6"/>
        <v>N/A</v>
      </c>
      <c r="CB9" s="81"/>
      <c r="CC9" s="81" t="str">
        <f t="shared" si="7"/>
        <v>N/A</v>
      </c>
      <c r="CD9" s="81"/>
      <c r="CE9" s="81" t="str">
        <f t="shared" si="8"/>
        <v>N/A</v>
      </c>
      <c r="CF9" s="81"/>
      <c r="CG9" s="81" t="str">
        <f t="shared" si="9"/>
        <v>N/A</v>
      </c>
      <c r="CH9" s="81"/>
      <c r="CI9" s="81" t="str">
        <f t="shared" si="10"/>
        <v>N/A</v>
      </c>
      <c r="CJ9" s="81"/>
      <c r="CK9" s="81" t="str">
        <f t="shared" si="11"/>
        <v>N/A</v>
      </c>
      <c r="CL9" s="81"/>
      <c r="CM9" s="81" t="str">
        <f t="shared" ref="CM9:CM20" si="13">IF(OR(ISBLANK(AN9),ISBLANK(AP9)),"N/A",IF(ABS((AP9-AN9)/AN9)&gt;0.25,"&gt; 25%","ok"))</f>
        <v>N/A</v>
      </c>
      <c r="CN9" s="81"/>
      <c r="CO9" s="81" t="str">
        <f>IF(OR(ISBLANK(AP9),ISBLANK(AR9)),"N/A",IF(ABS((AR9-AP9)/AP9)&gt;0.25,"&gt; 25%","ok"))</f>
        <v>N/A</v>
      </c>
      <c r="CP9" s="81"/>
      <c r="CQ9" s="81" t="str">
        <f>IF(OR(ISBLANK(AR9),ISBLANK(AT9)),"N/A",IF(ABS((AT9-AR9)/AR9)&gt;0.25,"&gt; 25%","ok"))</f>
        <v>N/A</v>
      </c>
      <c r="CR9" s="81"/>
      <c r="CS9" s="81" t="str">
        <f t="shared" ref="CS9:CS20" si="14">IF(OR(ISBLANK(AT9),ISBLANK(AV9)),"N/A",IF(ABS((AV9-AT9)/AT9)&gt;0.25,"&gt; 25%","ok"))</f>
        <v>N/A</v>
      </c>
      <c r="CT9" s="81"/>
    </row>
    <row r="10" spans="1:101" s="435" customFormat="1" ht="42" customHeight="1" x14ac:dyDescent="0.2">
      <c r="A10" s="434" t="s">
        <v>461</v>
      </c>
      <c r="B10" s="224">
        <v>29</v>
      </c>
      <c r="C10" s="375">
        <v>3</v>
      </c>
      <c r="D10" s="241" t="s">
        <v>353</v>
      </c>
      <c r="E10" s="244" t="s">
        <v>302</v>
      </c>
      <c r="F10" s="582"/>
      <c r="G10" s="593"/>
      <c r="H10" s="582"/>
      <c r="I10" s="593"/>
      <c r="J10" s="582"/>
      <c r="K10" s="593"/>
      <c r="L10" s="582"/>
      <c r="M10" s="593"/>
      <c r="N10" s="582"/>
      <c r="O10" s="593"/>
      <c r="P10" s="582"/>
      <c r="Q10" s="593"/>
      <c r="R10" s="582"/>
      <c r="S10" s="593"/>
      <c r="T10" s="582"/>
      <c r="U10" s="593"/>
      <c r="V10" s="582"/>
      <c r="W10" s="593"/>
      <c r="X10" s="582"/>
      <c r="Y10" s="593"/>
      <c r="Z10" s="582"/>
      <c r="AA10" s="593"/>
      <c r="AB10" s="582"/>
      <c r="AC10" s="593"/>
      <c r="AD10" s="582"/>
      <c r="AE10" s="593"/>
      <c r="AF10" s="582"/>
      <c r="AG10" s="593"/>
      <c r="AH10" s="582"/>
      <c r="AI10" s="593"/>
      <c r="AJ10" s="582"/>
      <c r="AK10" s="593"/>
      <c r="AL10" s="582"/>
      <c r="AM10" s="593"/>
      <c r="AN10" s="582"/>
      <c r="AO10" s="593"/>
      <c r="AP10" s="582"/>
      <c r="AQ10" s="593"/>
      <c r="AR10" s="582"/>
      <c r="AS10" s="593"/>
      <c r="AT10" s="582"/>
      <c r="AU10" s="593"/>
      <c r="AV10" s="582"/>
      <c r="AW10" s="593"/>
      <c r="AY10" s="436"/>
      <c r="AZ10" s="366">
        <v>3</v>
      </c>
      <c r="BA10" s="243" t="s">
        <v>418</v>
      </c>
      <c r="BB10" s="366" t="s">
        <v>468</v>
      </c>
      <c r="BC10" s="80" t="s">
        <v>471</v>
      </c>
      <c r="BD10" s="238"/>
      <c r="BE10" s="81" t="str">
        <f t="shared" si="12"/>
        <v>N/A</v>
      </c>
      <c r="BF10" s="238"/>
      <c r="BG10" s="81" t="str">
        <f>IF(OR(ISBLANK(H10),ISBLANK(J10)),"N/A",IF(ABS((J10-H10)/H10)&gt;0.25,"&gt; 25%","ok"))</f>
        <v>N/A</v>
      </c>
      <c r="BH10" s="81"/>
      <c r="BI10" s="81" t="str">
        <f>IF(OR(ISBLANK(J10),ISBLANK(L10)),"N/A",IF(ABS((L10-J10)/J10)&gt;0.25,"&gt; 25%","ok"))</f>
        <v>N/A</v>
      </c>
      <c r="BJ10" s="81"/>
      <c r="BK10" s="81" t="str">
        <f>IF(OR(ISBLANK(L10),ISBLANK(N10)),"N/A",IF(ABS((N10-L10)/L10)&gt;0.25,"&gt; 25%","ok"))</f>
        <v>N/A</v>
      </c>
      <c r="BL10" s="81"/>
      <c r="BM10" s="81" t="str">
        <f>IF(OR(ISBLANK(N10),ISBLANK(P10)),"N/A",IF(ABS((P10-N10)/N10)&gt;0.25,"&gt; 25%","ok"))</f>
        <v>N/A</v>
      </c>
      <c r="BN10" s="81"/>
      <c r="BO10" s="81" t="str">
        <f t="shared" si="0"/>
        <v>N/A</v>
      </c>
      <c r="BP10" s="81"/>
      <c r="BQ10" s="81" t="str">
        <f t="shared" si="1"/>
        <v>N/A</v>
      </c>
      <c r="BR10" s="81"/>
      <c r="BS10" s="81" t="str">
        <f t="shared" si="2"/>
        <v>N/A</v>
      </c>
      <c r="BT10" s="81"/>
      <c r="BU10" s="81" t="str">
        <f t="shared" si="3"/>
        <v>N/A</v>
      </c>
      <c r="BV10" s="81"/>
      <c r="BW10" s="81" t="str">
        <f t="shared" si="4"/>
        <v>N/A</v>
      </c>
      <c r="BX10" s="81"/>
      <c r="BY10" s="81" t="str">
        <f t="shared" si="5"/>
        <v>N/A</v>
      </c>
      <c r="BZ10" s="81"/>
      <c r="CA10" s="81" t="str">
        <f t="shared" si="6"/>
        <v>N/A</v>
      </c>
      <c r="CB10" s="81"/>
      <c r="CC10" s="81" t="str">
        <f t="shared" si="7"/>
        <v>N/A</v>
      </c>
      <c r="CD10" s="81"/>
      <c r="CE10" s="81" t="str">
        <f t="shared" si="8"/>
        <v>N/A</v>
      </c>
      <c r="CF10" s="81"/>
      <c r="CG10" s="81" t="str">
        <f t="shared" si="9"/>
        <v>N/A</v>
      </c>
      <c r="CH10" s="81"/>
      <c r="CI10" s="81" t="str">
        <f t="shared" si="10"/>
        <v>N/A</v>
      </c>
      <c r="CJ10" s="81"/>
      <c r="CK10" s="81" t="str">
        <f t="shared" si="11"/>
        <v>N/A</v>
      </c>
      <c r="CL10" s="81"/>
      <c r="CM10" s="81" t="str">
        <f t="shared" si="13"/>
        <v>N/A</v>
      </c>
      <c r="CN10" s="81"/>
      <c r="CO10" s="81" t="str">
        <f>IF(OR(ISBLANK(AP10),ISBLANK(AR10)),"N/A",IF(ABS((AR10-AP10)/AP10)&gt;0.25,"&gt; 25%","ok"))</f>
        <v>N/A</v>
      </c>
      <c r="CP10" s="81"/>
      <c r="CQ10" s="81" t="str">
        <f>IF(OR(ISBLANK(AR10),ISBLANK(AT10)),"N/A",IF(ABS((AT10-AR10)/AR10)&gt;0.25,"&gt; 25%","ok"))</f>
        <v>N/A</v>
      </c>
      <c r="CR10" s="81"/>
      <c r="CS10" s="81" t="str">
        <f t="shared" si="14"/>
        <v>N/A</v>
      </c>
      <c r="CT10" s="81"/>
    </row>
    <row r="11" spans="1:101" s="435" customFormat="1" ht="26.1" customHeight="1" x14ac:dyDescent="0.2">
      <c r="A11" s="437"/>
      <c r="B11" s="224">
        <v>5008</v>
      </c>
      <c r="C11" s="438"/>
      <c r="D11" s="439" t="s">
        <v>552</v>
      </c>
      <c r="E11" s="375"/>
      <c r="F11" s="581"/>
      <c r="G11" s="596"/>
      <c r="H11" s="581"/>
      <c r="I11" s="596"/>
      <c r="J11" s="581"/>
      <c r="K11" s="596"/>
      <c r="L11" s="581"/>
      <c r="M11" s="596"/>
      <c r="N11" s="581"/>
      <c r="O11" s="596"/>
      <c r="P11" s="581"/>
      <c r="Q11" s="596"/>
      <c r="R11" s="581"/>
      <c r="S11" s="596"/>
      <c r="T11" s="581"/>
      <c r="U11" s="596"/>
      <c r="V11" s="581"/>
      <c r="W11" s="596"/>
      <c r="X11" s="581"/>
      <c r="Y11" s="596"/>
      <c r="Z11" s="581"/>
      <c r="AA11" s="596"/>
      <c r="AB11" s="581"/>
      <c r="AC11" s="596"/>
      <c r="AD11" s="581"/>
      <c r="AE11" s="596"/>
      <c r="AF11" s="581"/>
      <c r="AG11" s="596"/>
      <c r="AH11" s="581"/>
      <c r="AI11" s="596"/>
      <c r="AJ11" s="581"/>
      <c r="AK11" s="596"/>
      <c r="AL11" s="581"/>
      <c r="AM11" s="596"/>
      <c r="AN11" s="581"/>
      <c r="AO11" s="596"/>
      <c r="AP11" s="581"/>
      <c r="AQ11" s="596"/>
      <c r="AR11" s="581"/>
      <c r="AS11" s="596"/>
      <c r="AT11" s="581"/>
      <c r="AU11" s="596"/>
      <c r="AV11" s="581"/>
      <c r="AW11" s="596"/>
      <c r="AY11" s="436"/>
      <c r="AZ11" s="388"/>
      <c r="BA11" s="386" t="s">
        <v>416</v>
      </c>
      <c r="BB11" s="366"/>
      <c r="BC11" s="95"/>
      <c r="BD11" s="233"/>
      <c r="BE11" s="78"/>
      <c r="BF11" s="233"/>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row>
    <row r="12" spans="1:101" s="441" customFormat="1" ht="18" customHeight="1" x14ac:dyDescent="0.2">
      <c r="A12" s="215"/>
      <c r="B12" s="224">
        <v>38</v>
      </c>
      <c r="C12" s="227">
        <v>4</v>
      </c>
      <c r="D12" s="440" t="s">
        <v>309</v>
      </c>
      <c r="E12" s="244" t="s">
        <v>302</v>
      </c>
      <c r="F12" s="585"/>
      <c r="G12" s="591"/>
      <c r="H12" s="585"/>
      <c r="I12" s="591"/>
      <c r="J12" s="585"/>
      <c r="K12" s="591"/>
      <c r="L12" s="585"/>
      <c r="M12" s="591"/>
      <c r="N12" s="585"/>
      <c r="O12" s="591"/>
      <c r="P12" s="585"/>
      <c r="Q12" s="591"/>
      <c r="R12" s="585">
        <v>666</v>
      </c>
      <c r="S12" s="591"/>
      <c r="T12" s="585">
        <v>669</v>
      </c>
      <c r="U12" s="591"/>
      <c r="V12" s="585">
        <v>693</v>
      </c>
      <c r="W12" s="591"/>
      <c r="X12" s="585"/>
      <c r="Y12" s="591"/>
      <c r="Z12" s="585"/>
      <c r="AA12" s="591"/>
      <c r="AB12" s="585"/>
      <c r="AC12" s="591"/>
      <c r="AD12" s="585"/>
      <c r="AE12" s="591"/>
      <c r="AF12" s="585"/>
      <c r="AG12" s="591"/>
      <c r="AH12" s="585"/>
      <c r="AI12" s="591"/>
      <c r="AJ12" s="585"/>
      <c r="AK12" s="591"/>
      <c r="AL12" s="585"/>
      <c r="AM12" s="591"/>
      <c r="AN12" s="585"/>
      <c r="AO12" s="591"/>
      <c r="AP12" s="585"/>
      <c r="AQ12" s="591"/>
      <c r="AR12" s="585"/>
      <c r="AS12" s="591"/>
      <c r="AT12" s="585"/>
      <c r="AU12" s="591"/>
      <c r="AV12" s="585"/>
      <c r="AW12" s="591"/>
      <c r="AY12" s="442"/>
      <c r="AZ12" s="95">
        <v>4</v>
      </c>
      <c r="BA12" s="443" t="s">
        <v>4</v>
      </c>
      <c r="BB12" s="80" t="s">
        <v>468</v>
      </c>
      <c r="BC12" s="78" t="s">
        <v>471</v>
      </c>
      <c r="BD12" s="233"/>
      <c r="BE12" s="78" t="str">
        <f t="shared" si="12"/>
        <v>N/A</v>
      </c>
      <c r="BF12" s="233"/>
      <c r="BG12" s="81" t="str">
        <f>IF(OR(ISBLANK(H12),ISBLANK(J12)),"N/A",IF(ABS((J12-H12)/H12)&gt;0.25,"&gt; 25%","ok"))</f>
        <v>N/A</v>
      </c>
      <c r="BH12" s="81"/>
      <c r="BI12" s="81" t="str">
        <f>IF(OR(ISBLANK(J12),ISBLANK(L12)),"N/A",IF(ABS((L12-J12)/J12)&gt;0.25,"&gt; 25%","ok"))</f>
        <v>N/A</v>
      </c>
      <c r="BJ12" s="81"/>
      <c r="BK12" s="81" t="str">
        <f>IF(OR(ISBLANK(L12),ISBLANK(N12)),"N/A",IF(ABS((N12-L12)/L12)&gt;0.25,"&gt; 25%","ok"))</f>
        <v>N/A</v>
      </c>
      <c r="BL12" s="81"/>
      <c r="BM12" s="81" t="str">
        <f>IF(OR(ISBLANK(N12),ISBLANK(P12)),"N/A",IF(ABS((P12-N12)/N12)&gt;0.25,"&gt; 25%","ok"))</f>
        <v>N/A</v>
      </c>
      <c r="BN12" s="81"/>
      <c r="BO12" s="81" t="str">
        <f t="shared" si="0"/>
        <v>N/A</v>
      </c>
      <c r="BP12" s="81"/>
      <c r="BQ12" s="81" t="str">
        <f t="shared" si="1"/>
        <v>ok</v>
      </c>
      <c r="BR12" s="81"/>
      <c r="BS12" s="81" t="str">
        <f t="shared" si="2"/>
        <v>ok</v>
      </c>
      <c r="BT12" s="81"/>
      <c r="BU12" s="81" t="str">
        <f t="shared" si="3"/>
        <v>N/A</v>
      </c>
      <c r="BV12" s="81"/>
      <c r="BW12" s="81" t="str">
        <f t="shared" si="4"/>
        <v>N/A</v>
      </c>
      <c r="BX12" s="81"/>
      <c r="BY12" s="81" t="str">
        <f t="shared" si="5"/>
        <v>N/A</v>
      </c>
      <c r="BZ12" s="81"/>
      <c r="CA12" s="81" t="str">
        <f t="shared" si="6"/>
        <v>N/A</v>
      </c>
      <c r="CB12" s="81"/>
      <c r="CC12" s="81" t="str">
        <f t="shared" si="7"/>
        <v>N/A</v>
      </c>
      <c r="CD12" s="81"/>
      <c r="CE12" s="81" t="str">
        <f t="shared" si="8"/>
        <v>N/A</v>
      </c>
      <c r="CF12" s="81"/>
      <c r="CG12" s="81" t="str">
        <f t="shared" si="9"/>
        <v>N/A</v>
      </c>
      <c r="CH12" s="81"/>
      <c r="CI12" s="81" t="str">
        <f t="shared" si="10"/>
        <v>N/A</v>
      </c>
      <c r="CJ12" s="81"/>
      <c r="CK12" s="81" t="str">
        <f t="shared" si="11"/>
        <v>N/A</v>
      </c>
      <c r="CL12" s="81"/>
      <c r="CM12" s="81" t="str">
        <f t="shared" si="13"/>
        <v>N/A</v>
      </c>
      <c r="CN12" s="81"/>
      <c r="CO12" s="81" t="str">
        <f>IF(OR(ISBLANK(AP12),ISBLANK(AR12)),"N/A",IF(ABS((AR12-AP12)/AP12)&gt;0.25,"&gt; 25%","ok"))</f>
        <v>N/A</v>
      </c>
      <c r="CP12" s="81"/>
      <c r="CQ12" s="81" t="str">
        <f>IF(OR(ISBLANK(AR12),ISBLANK(AT12)),"N/A",IF(ABS((AT12-AR12)/AR12)&gt;0.25,"&gt; 25%","ok"))</f>
        <v>N/A</v>
      </c>
      <c r="CR12" s="81"/>
      <c r="CS12" s="81" t="str">
        <f t="shared" si="14"/>
        <v>N/A</v>
      </c>
      <c r="CT12" s="81"/>
    </row>
    <row r="13" spans="1:101" s="424" customFormat="1" ht="26.1" customHeight="1" x14ac:dyDescent="0.2">
      <c r="A13" s="423"/>
      <c r="B13" s="224">
        <v>81</v>
      </c>
      <c r="C13" s="242">
        <v>5</v>
      </c>
      <c r="D13" s="440" t="s">
        <v>542</v>
      </c>
      <c r="E13" s="244" t="s">
        <v>302</v>
      </c>
      <c r="F13" s="577"/>
      <c r="G13" s="592"/>
      <c r="H13" s="577"/>
      <c r="I13" s="592"/>
      <c r="J13" s="577"/>
      <c r="K13" s="592"/>
      <c r="L13" s="577"/>
      <c r="M13" s="592"/>
      <c r="N13" s="577"/>
      <c r="O13" s="592"/>
      <c r="P13" s="577"/>
      <c r="Q13" s="592"/>
      <c r="R13" s="577">
        <v>10737</v>
      </c>
      <c r="S13" s="592"/>
      <c r="T13" s="577">
        <v>11053</v>
      </c>
      <c r="U13" s="592"/>
      <c r="V13" s="577"/>
      <c r="W13" s="592"/>
      <c r="X13" s="577"/>
      <c r="Y13" s="592"/>
      <c r="Z13" s="577">
        <v>8585</v>
      </c>
      <c r="AA13" s="592" t="s">
        <v>634</v>
      </c>
      <c r="AB13" s="577">
        <v>7693</v>
      </c>
      <c r="AC13" s="592" t="s">
        <v>634</v>
      </c>
      <c r="AD13" s="577">
        <v>8226</v>
      </c>
      <c r="AE13" s="592" t="s">
        <v>634</v>
      </c>
      <c r="AF13" s="577">
        <v>7931</v>
      </c>
      <c r="AG13" s="592" t="s">
        <v>634</v>
      </c>
      <c r="AH13" s="577">
        <v>7487</v>
      </c>
      <c r="AI13" s="592" t="s">
        <v>634</v>
      </c>
      <c r="AJ13" s="577">
        <v>8070</v>
      </c>
      <c r="AK13" s="592" t="s">
        <v>634</v>
      </c>
      <c r="AL13" s="577">
        <v>8321</v>
      </c>
      <c r="AM13" s="592" t="s">
        <v>634</v>
      </c>
      <c r="AN13" s="577">
        <v>9260</v>
      </c>
      <c r="AO13" s="592" t="s">
        <v>634</v>
      </c>
      <c r="AP13" s="577">
        <v>8328</v>
      </c>
      <c r="AQ13" s="592" t="s">
        <v>634</v>
      </c>
      <c r="AR13" s="577">
        <v>8771</v>
      </c>
      <c r="AS13" s="592" t="s">
        <v>634</v>
      </c>
      <c r="AT13" s="577">
        <v>8781</v>
      </c>
      <c r="AU13" s="592" t="s">
        <v>634</v>
      </c>
      <c r="AV13" s="577">
        <v>9406</v>
      </c>
      <c r="AW13" s="592" t="s">
        <v>634</v>
      </c>
      <c r="AY13" s="612"/>
      <c r="AZ13" s="80">
        <v>5</v>
      </c>
      <c r="BA13" s="444" t="s">
        <v>400</v>
      </c>
      <c r="BB13" s="80" t="s">
        <v>468</v>
      </c>
      <c r="BC13" s="80" t="s">
        <v>471</v>
      </c>
      <c r="BD13" s="238"/>
      <c r="BE13" s="78" t="str">
        <f t="shared" si="12"/>
        <v>N/A</v>
      </c>
      <c r="BF13" s="238"/>
      <c r="BG13" s="81" t="str">
        <f>IF(OR(ISBLANK(H13),ISBLANK(J13)),"N/A",IF(ABS((J13-H13)/H13)&gt;0.25,"&gt; 25%","ok"))</f>
        <v>N/A</v>
      </c>
      <c r="BH13" s="81"/>
      <c r="BI13" s="81" t="str">
        <f>IF(OR(ISBLANK(J13),ISBLANK(L13)),"N/A",IF(ABS((L13-J13)/J13)&gt;0.25,"&gt; 25%","ok"))</f>
        <v>N/A</v>
      </c>
      <c r="BJ13" s="81"/>
      <c r="BK13" s="81" t="str">
        <f>IF(OR(ISBLANK(L13),ISBLANK(N13)),"N/A",IF(ABS((N13-L13)/L13)&gt;0.25,"&gt; 25%","ok"))</f>
        <v>N/A</v>
      </c>
      <c r="BL13" s="81"/>
      <c r="BM13" s="81" t="str">
        <f>IF(OR(ISBLANK(N13),ISBLANK(P13)),"N/A",IF(ABS((P13-N13)/N13)&gt;0.25,"&gt; 25%","ok"))</f>
        <v>N/A</v>
      </c>
      <c r="BN13" s="81"/>
      <c r="BO13" s="81" t="str">
        <f t="shared" si="0"/>
        <v>N/A</v>
      </c>
      <c r="BP13" s="81"/>
      <c r="BQ13" s="81" t="str">
        <f t="shared" si="1"/>
        <v>ok</v>
      </c>
      <c r="BR13" s="81"/>
      <c r="BS13" s="81" t="str">
        <f t="shared" si="2"/>
        <v>N/A</v>
      </c>
      <c r="BT13" s="81"/>
      <c r="BU13" s="81" t="str">
        <f t="shared" si="3"/>
        <v>N/A</v>
      </c>
      <c r="BV13" s="81"/>
      <c r="BW13" s="81" t="str">
        <f t="shared" si="4"/>
        <v>N/A</v>
      </c>
      <c r="BX13" s="81"/>
      <c r="BY13" s="81" t="str">
        <f t="shared" si="5"/>
        <v>ok</v>
      </c>
      <c r="BZ13" s="81"/>
      <c r="CA13" s="81" t="str">
        <f t="shared" si="6"/>
        <v>ok</v>
      </c>
      <c r="CB13" s="81"/>
      <c r="CC13" s="81" t="str">
        <f t="shared" si="7"/>
        <v>ok</v>
      </c>
      <c r="CD13" s="81"/>
      <c r="CE13" s="81" t="str">
        <f t="shared" si="8"/>
        <v>ok</v>
      </c>
      <c r="CF13" s="81"/>
      <c r="CG13" s="81" t="str">
        <f t="shared" si="9"/>
        <v>ok</v>
      </c>
      <c r="CH13" s="81"/>
      <c r="CI13" s="81" t="str">
        <f t="shared" si="10"/>
        <v>ok</v>
      </c>
      <c r="CJ13" s="81"/>
      <c r="CK13" s="81" t="str">
        <f t="shared" si="11"/>
        <v>ok</v>
      </c>
      <c r="CL13" s="81"/>
      <c r="CM13" s="81" t="str">
        <f t="shared" si="13"/>
        <v>ok</v>
      </c>
      <c r="CN13" s="81"/>
      <c r="CO13" s="81" t="str">
        <f>IF(OR(ISBLANK(AP13),ISBLANK(AR13)),"N/A",IF(ABS((AR13-AP13)/AP13)&gt;0.25,"&gt; 25%","ok"))</f>
        <v>ok</v>
      </c>
      <c r="CP13" s="81"/>
      <c r="CQ13" s="81" t="str">
        <f>IF(OR(ISBLANK(AR13),ISBLANK(AT13)),"N/A",IF(ABS((AT13-AR13)/AR13)&gt;0.25,"&gt; 25%","ok"))</f>
        <v>ok</v>
      </c>
      <c r="CR13" s="81"/>
      <c r="CS13" s="81" t="str">
        <f t="shared" si="14"/>
        <v>ok</v>
      </c>
      <c r="CT13" s="81"/>
    </row>
    <row r="14" spans="1:101" ht="26.1" customHeight="1" x14ac:dyDescent="0.2">
      <c r="B14" s="224">
        <v>33</v>
      </c>
      <c r="C14" s="242">
        <v>6</v>
      </c>
      <c r="D14" s="440" t="s">
        <v>355</v>
      </c>
      <c r="E14" s="244" t="s">
        <v>302</v>
      </c>
      <c r="F14" s="577"/>
      <c r="G14" s="592"/>
      <c r="H14" s="577"/>
      <c r="I14" s="592"/>
      <c r="J14" s="577"/>
      <c r="K14" s="592"/>
      <c r="L14" s="577"/>
      <c r="M14" s="592"/>
      <c r="N14" s="577">
        <v>80</v>
      </c>
      <c r="O14" s="592" t="s">
        <v>635</v>
      </c>
      <c r="P14" s="577">
        <v>74</v>
      </c>
      <c r="Q14" s="592" t="s">
        <v>635</v>
      </c>
      <c r="R14" s="577">
        <v>75</v>
      </c>
      <c r="S14" s="592" t="s">
        <v>635</v>
      </c>
      <c r="T14" s="577">
        <v>76</v>
      </c>
      <c r="U14" s="592" t="s">
        <v>635</v>
      </c>
      <c r="V14" s="577">
        <v>79</v>
      </c>
      <c r="W14" s="592" t="s">
        <v>635</v>
      </c>
      <c r="X14" s="577"/>
      <c r="Y14" s="592"/>
      <c r="Z14" s="577"/>
      <c r="AA14" s="592"/>
      <c r="AB14" s="577"/>
      <c r="AC14" s="592"/>
      <c r="AD14" s="577"/>
      <c r="AE14" s="592"/>
      <c r="AF14" s="577"/>
      <c r="AG14" s="592"/>
      <c r="AH14" s="577"/>
      <c r="AI14" s="592"/>
      <c r="AJ14" s="577"/>
      <c r="AK14" s="592"/>
      <c r="AL14" s="577"/>
      <c r="AM14" s="592"/>
      <c r="AN14" s="577"/>
      <c r="AO14" s="592"/>
      <c r="AP14" s="577"/>
      <c r="AQ14" s="592"/>
      <c r="AR14" s="577"/>
      <c r="AS14" s="592"/>
      <c r="AT14" s="577"/>
      <c r="AU14" s="592"/>
      <c r="AV14" s="577"/>
      <c r="AW14" s="592"/>
      <c r="AZ14" s="95">
        <v>6</v>
      </c>
      <c r="BA14" s="444" t="s">
        <v>401</v>
      </c>
      <c r="BB14" s="80" t="s">
        <v>468</v>
      </c>
      <c r="BC14" s="80" t="s">
        <v>471</v>
      </c>
      <c r="BD14" s="238"/>
      <c r="BE14" s="78" t="str">
        <f t="shared" si="12"/>
        <v>N/A</v>
      </c>
      <c r="BF14" s="238"/>
      <c r="BG14" s="81" t="str">
        <f>IF(OR(ISBLANK(H14),ISBLANK(J14)),"N/A",IF(ABS((J14-H14)/H14)&gt;0.25,"&gt; 25%","ok"))</f>
        <v>N/A</v>
      </c>
      <c r="BH14" s="81"/>
      <c r="BI14" s="81" t="str">
        <f>IF(OR(ISBLANK(J14),ISBLANK(L14)),"N/A",IF(ABS((L14-J14)/J14)&gt;0.25,"&gt; 25%","ok"))</f>
        <v>N/A</v>
      </c>
      <c r="BJ14" s="81"/>
      <c r="BK14" s="81" t="str">
        <f>IF(OR(ISBLANK(L14),ISBLANK(N14)),"N/A",IF(ABS((N14-L14)/L14)&gt;0.25,"&gt; 25%","ok"))</f>
        <v>N/A</v>
      </c>
      <c r="BL14" s="81"/>
      <c r="BM14" s="81" t="str">
        <f>IF(OR(ISBLANK(N14),ISBLANK(P14)),"N/A",IF(ABS((P14-N14)/N14)&gt;0.25,"&gt; 25%","ok"))</f>
        <v>ok</v>
      </c>
      <c r="BN14" s="81"/>
      <c r="BO14" s="81" t="str">
        <f t="shared" si="0"/>
        <v>ok</v>
      </c>
      <c r="BP14" s="81"/>
      <c r="BQ14" s="81" t="str">
        <f t="shared" si="1"/>
        <v>ok</v>
      </c>
      <c r="BR14" s="81"/>
      <c r="BS14" s="81" t="str">
        <f t="shared" si="2"/>
        <v>ok</v>
      </c>
      <c r="BT14" s="81"/>
      <c r="BU14" s="81" t="str">
        <f t="shared" si="3"/>
        <v>N/A</v>
      </c>
      <c r="BV14" s="81"/>
      <c r="BW14" s="81" t="str">
        <f t="shared" si="4"/>
        <v>N/A</v>
      </c>
      <c r="BX14" s="81"/>
      <c r="BY14" s="81" t="str">
        <f t="shared" si="5"/>
        <v>N/A</v>
      </c>
      <c r="BZ14" s="81"/>
      <c r="CA14" s="81" t="str">
        <f t="shared" si="6"/>
        <v>N/A</v>
      </c>
      <c r="CB14" s="81"/>
      <c r="CC14" s="81" t="str">
        <f t="shared" si="7"/>
        <v>N/A</v>
      </c>
      <c r="CD14" s="81"/>
      <c r="CE14" s="81" t="str">
        <f t="shared" si="8"/>
        <v>N/A</v>
      </c>
      <c r="CF14" s="81"/>
      <c r="CG14" s="81" t="str">
        <f t="shared" si="9"/>
        <v>N/A</v>
      </c>
      <c r="CH14" s="81"/>
      <c r="CI14" s="81" t="str">
        <f t="shared" si="10"/>
        <v>N/A</v>
      </c>
      <c r="CJ14" s="81"/>
      <c r="CK14" s="81" t="str">
        <f t="shared" si="11"/>
        <v>N/A</v>
      </c>
      <c r="CL14" s="81"/>
      <c r="CM14" s="81" t="str">
        <f t="shared" si="13"/>
        <v>N/A</v>
      </c>
      <c r="CN14" s="81"/>
      <c r="CO14" s="81" t="str">
        <f>IF(OR(ISBLANK(AP14),ISBLANK(AR14)),"N/A",IF(ABS((AR14-AP14)/AP14)&gt;0.25,"&gt; 25%","ok"))</f>
        <v>N/A</v>
      </c>
      <c r="CP14" s="81"/>
      <c r="CQ14" s="81" t="str">
        <f>IF(OR(ISBLANK(AR14),ISBLANK(AT14)),"N/A",IF(ABS((AT14-AR14)/AR14)&gt;0.25,"&gt; 25%","ok"))</f>
        <v>N/A</v>
      </c>
      <c r="CR14" s="81"/>
      <c r="CS14" s="81" t="str">
        <f t="shared" si="14"/>
        <v>N/A</v>
      </c>
      <c r="CT14" s="81"/>
    </row>
    <row r="15" spans="1:101" ht="18" customHeight="1" x14ac:dyDescent="0.2">
      <c r="B15" s="224">
        <v>82</v>
      </c>
      <c r="C15" s="227">
        <v>7</v>
      </c>
      <c r="D15" s="440" t="s">
        <v>328</v>
      </c>
      <c r="E15" s="244" t="s">
        <v>302</v>
      </c>
      <c r="F15" s="577"/>
      <c r="G15" s="592"/>
      <c r="H15" s="577"/>
      <c r="I15" s="592"/>
      <c r="J15" s="577"/>
      <c r="K15" s="592"/>
      <c r="L15" s="577"/>
      <c r="M15" s="592"/>
      <c r="N15" s="577"/>
      <c r="O15" s="592"/>
      <c r="P15" s="577"/>
      <c r="Q15" s="592"/>
      <c r="R15" s="577"/>
      <c r="S15" s="592"/>
      <c r="T15" s="577"/>
      <c r="U15" s="592"/>
      <c r="V15" s="577"/>
      <c r="W15" s="592"/>
      <c r="X15" s="577"/>
      <c r="Y15" s="592"/>
      <c r="Z15" s="577"/>
      <c r="AA15" s="592"/>
      <c r="AB15" s="577"/>
      <c r="AC15" s="592"/>
      <c r="AD15" s="577"/>
      <c r="AE15" s="592"/>
      <c r="AF15" s="577"/>
      <c r="AG15" s="592"/>
      <c r="AH15" s="577"/>
      <c r="AI15" s="592"/>
      <c r="AJ15" s="577"/>
      <c r="AK15" s="592"/>
      <c r="AL15" s="577"/>
      <c r="AM15" s="592"/>
      <c r="AN15" s="577"/>
      <c r="AO15" s="592"/>
      <c r="AP15" s="577"/>
      <c r="AQ15" s="592"/>
      <c r="AR15" s="577"/>
      <c r="AS15" s="592"/>
      <c r="AT15" s="577"/>
      <c r="AU15" s="592"/>
      <c r="AV15" s="577"/>
      <c r="AW15" s="592"/>
      <c r="AZ15" s="80">
        <v>7</v>
      </c>
      <c r="BA15" s="443" t="s">
        <v>493</v>
      </c>
      <c r="BB15" s="80" t="s">
        <v>468</v>
      </c>
      <c r="BC15" s="80" t="s">
        <v>471</v>
      </c>
      <c r="BD15" s="238"/>
      <c r="BE15" s="78" t="str">
        <f t="shared" si="12"/>
        <v>N/A</v>
      </c>
      <c r="BF15" s="238"/>
      <c r="BG15" s="81" t="str">
        <f>IF(OR(ISBLANK(H15),ISBLANK(J15)),"N/A",IF(ABS((J15-H15)/H15)&gt;0.25,"&gt; 25%","ok"))</f>
        <v>N/A</v>
      </c>
      <c r="BH15" s="81"/>
      <c r="BI15" s="81" t="str">
        <f>IF(OR(ISBLANK(J15),ISBLANK(L15)),"N/A",IF(ABS((L15-J15)/J15)&gt;0.25,"&gt; 25%","ok"))</f>
        <v>N/A</v>
      </c>
      <c r="BJ15" s="81"/>
      <c r="BK15" s="81" t="str">
        <f>IF(OR(ISBLANK(L15),ISBLANK(N15)),"N/A",IF(ABS((N15-L15)/L15)&gt;0.25,"&gt; 25%","ok"))</f>
        <v>N/A</v>
      </c>
      <c r="BL15" s="81"/>
      <c r="BM15" s="81" t="str">
        <f>IF(OR(ISBLANK(N15),ISBLANK(P15)),"N/A",IF(ABS((P15-N15)/N15)&gt;0.25,"&gt; 25%","ok"))</f>
        <v>N/A</v>
      </c>
      <c r="BN15" s="81"/>
      <c r="BO15" s="81" t="str">
        <f t="shared" si="0"/>
        <v>N/A</v>
      </c>
      <c r="BP15" s="81"/>
      <c r="BQ15" s="81" t="str">
        <f t="shared" si="1"/>
        <v>N/A</v>
      </c>
      <c r="BR15" s="81"/>
      <c r="BS15" s="81" t="str">
        <f t="shared" si="2"/>
        <v>N/A</v>
      </c>
      <c r="BT15" s="81"/>
      <c r="BU15" s="81" t="str">
        <f t="shared" si="3"/>
        <v>N/A</v>
      </c>
      <c r="BV15" s="81"/>
      <c r="BW15" s="81" t="str">
        <f t="shared" si="4"/>
        <v>N/A</v>
      </c>
      <c r="BX15" s="81"/>
      <c r="BY15" s="81" t="str">
        <f t="shared" si="5"/>
        <v>N/A</v>
      </c>
      <c r="BZ15" s="81"/>
      <c r="CA15" s="81" t="str">
        <f t="shared" si="6"/>
        <v>N/A</v>
      </c>
      <c r="CB15" s="81"/>
      <c r="CC15" s="81" t="str">
        <f t="shared" si="7"/>
        <v>N/A</v>
      </c>
      <c r="CD15" s="81"/>
      <c r="CE15" s="81" t="str">
        <f t="shared" si="8"/>
        <v>N/A</v>
      </c>
      <c r="CF15" s="81"/>
      <c r="CG15" s="81" t="str">
        <f t="shared" si="9"/>
        <v>N/A</v>
      </c>
      <c r="CH15" s="81"/>
      <c r="CI15" s="81" t="str">
        <f t="shared" si="10"/>
        <v>N/A</v>
      </c>
      <c r="CJ15" s="81"/>
      <c r="CK15" s="81" t="str">
        <f t="shared" si="11"/>
        <v>N/A</v>
      </c>
      <c r="CL15" s="81"/>
      <c r="CM15" s="81" t="str">
        <f t="shared" si="13"/>
        <v>N/A</v>
      </c>
      <c r="CN15" s="81"/>
      <c r="CO15" s="81" t="str">
        <f>IF(OR(ISBLANK(AP15),ISBLANK(AR15)),"N/A",IF(ABS((AR15-AP15)/AP15)&gt;0.25,"&gt; 25%","ok"))</f>
        <v>N/A</v>
      </c>
      <c r="CP15" s="81"/>
      <c r="CQ15" s="81" t="str">
        <f>IF(OR(ISBLANK(AR15),ISBLANK(AT15)),"N/A",IF(ABS((AT15-AR15)/AR15)&gt;0.25,"&gt; 25%","ok"))</f>
        <v>N/A</v>
      </c>
      <c r="CR15" s="81"/>
      <c r="CS15" s="81" t="str">
        <f t="shared" si="14"/>
        <v>N/A</v>
      </c>
      <c r="CT15" s="81"/>
    </row>
    <row r="16" spans="1:101" ht="18" customHeight="1" x14ac:dyDescent="0.2">
      <c r="B16" s="224">
        <v>37</v>
      </c>
      <c r="C16" s="242">
        <v>8</v>
      </c>
      <c r="D16" s="445" t="s">
        <v>310</v>
      </c>
      <c r="E16" s="244" t="s">
        <v>302</v>
      </c>
      <c r="F16" s="586"/>
      <c r="G16" s="597"/>
      <c r="H16" s="586"/>
      <c r="I16" s="597"/>
      <c r="J16" s="586"/>
      <c r="K16" s="597"/>
      <c r="L16" s="586"/>
      <c r="M16" s="597"/>
      <c r="N16" s="586"/>
      <c r="O16" s="597"/>
      <c r="P16" s="586"/>
      <c r="Q16" s="597"/>
      <c r="R16" s="586"/>
      <c r="S16" s="597"/>
      <c r="T16" s="586"/>
      <c r="U16" s="597"/>
      <c r="V16" s="586"/>
      <c r="W16" s="597"/>
      <c r="X16" s="586"/>
      <c r="Y16" s="597"/>
      <c r="Z16" s="586"/>
      <c r="AA16" s="597"/>
      <c r="AB16" s="586"/>
      <c r="AC16" s="597"/>
      <c r="AD16" s="586"/>
      <c r="AE16" s="597"/>
      <c r="AF16" s="586"/>
      <c r="AG16" s="597"/>
      <c r="AH16" s="586"/>
      <c r="AI16" s="597"/>
      <c r="AJ16" s="586"/>
      <c r="AK16" s="597"/>
      <c r="AL16" s="586"/>
      <c r="AM16" s="597"/>
      <c r="AN16" s="586"/>
      <c r="AO16" s="597"/>
      <c r="AP16" s="586"/>
      <c r="AQ16" s="597"/>
      <c r="AR16" s="586"/>
      <c r="AS16" s="597"/>
      <c r="AT16" s="586"/>
      <c r="AU16" s="597"/>
      <c r="AV16" s="586"/>
      <c r="AW16" s="597"/>
      <c r="AZ16" s="95">
        <v>8</v>
      </c>
      <c r="BA16" s="446" t="s">
        <v>5</v>
      </c>
      <c r="BB16" s="80" t="s">
        <v>468</v>
      </c>
      <c r="BC16" s="245" t="s">
        <v>471</v>
      </c>
      <c r="BD16" s="246"/>
      <c r="BE16" s="78" t="str">
        <f t="shared" si="12"/>
        <v>N/A</v>
      </c>
      <c r="BF16" s="246"/>
      <c r="BG16" s="81" t="str">
        <f>IF(OR(ISBLANK(H16),ISBLANK(J16)),"N/A",IF(ABS((J16-H16)/H16)&gt;0.25,"&gt; 25%","ok"))</f>
        <v>N/A</v>
      </c>
      <c r="BH16" s="81"/>
      <c r="BI16" s="81" t="str">
        <f>IF(OR(ISBLANK(J16),ISBLANK(L16)),"N/A",IF(ABS((L16-J16)/J16)&gt;0.25,"&gt; 25%","ok"))</f>
        <v>N/A</v>
      </c>
      <c r="BJ16" s="81"/>
      <c r="BK16" s="81" t="str">
        <f>IF(OR(ISBLANK(L16),ISBLANK(N16)),"N/A",IF(ABS((N16-L16)/L16)&gt;0.25,"&gt; 25%","ok"))</f>
        <v>N/A</v>
      </c>
      <c r="BL16" s="81"/>
      <c r="BM16" s="81" t="str">
        <f>IF(OR(ISBLANK(N16),ISBLANK(P16)),"N/A",IF(ABS((P16-N16)/N16)&gt;0.25,"&gt; 25%","ok"))</f>
        <v>N/A</v>
      </c>
      <c r="BN16" s="81"/>
      <c r="BO16" s="81" t="str">
        <f t="shared" si="0"/>
        <v>N/A</v>
      </c>
      <c r="BP16" s="81"/>
      <c r="BQ16" s="81" t="str">
        <f t="shared" si="1"/>
        <v>N/A</v>
      </c>
      <c r="BR16" s="81"/>
      <c r="BS16" s="81" t="str">
        <f t="shared" si="2"/>
        <v>N/A</v>
      </c>
      <c r="BT16" s="81"/>
      <c r="BU16" s="81" t="str">
        <f t="shared" si="3"/>
        <v>N/A</v>
      </c>
      <c r="BV16" s="81"/>
      <c r="BW16" s="81" t="str">
        <f t="shared" si="4"/>
        <v>N/A</v>
      </c>
      <c r="BX16" s="81"/>
      <c r="BY16" s="81" t="str">
        <f t="shared" si="5"/>
        <v>N/A</v>
      </c>
      <c r="BZ16" s="81"/>
      <c r="CA16" s="81" t="str">
        <f t="shared" si="6"/>
        <v>N/A</v>
      </c>
      <c r="CB16" s="81"/>
      <c r="CC16" s="81" t="str">
        <f t="shared" si="7"/>
        <v>N/A</v>
      </c>
      <c r="CD16" s="81"/>
      <c r="CE16" s="81" t="str">
        <f t="shared" si="8"/>
        <v>N/A</v>
      </c>
      <c r="CF16" s="81"/>
      <c r="CG16" s="81" t="str">
        <f t="shared" si="9"/>
        <v>N/A</v>
      </c>
      <c r="CH16" s="81"/>
      <c r="CI16" s="81" t="str">
        <f t="shared" si="10"/>
        <v>N/A</v>
      </c>
      <c r="CJ16" s="81"/>
      <c r="CK16" s="81" t="str">
        <f t="shared" si="11"/>
        <v>N/A</v>
      </c>
      <c r="CL16" s="81"/>
      <c r="CM16" s="81" t="str">
        <f t="shared" si="13"/>
        <v>N/A</v>
      </c>
      <c r="CN16" s="81"/>
      <c r="CO16" s="81" t="str">
        <f>IF(OR(ISBLANK(AP16),ISBLANK(AR16)),"N/A",IF(ABS((AR16-AP16)/AP16)&gt;0.25,"&gt; 25%","ok"))</f>
        <v>N/A</v>
      </c>
      <c r="CP16" s="81"/>
      <c r="CQ16" s="81" t="str">
        <f>IF(OR(ISBLANK(AR16),ISBLANK(AT16)),"N/A",IF(ABS((AT16-AR16)/AR16)&gt;0.25,"&gt; 25%","ok"))</f>
        <v>N/A</v>
      </c>
      <c r="CR16" s="81"/>
      <c r="CS16" s="81" t="str">
        <f t="shared" si="14"/>
        <v>N/A</v>
      </c>
      <c r="CT16" s="81"/>
    </row>
    <row r="17" spans="1:113" ht="26.1" customHeight="1" x14ac:dyDescent="0.2">
      <c r="B17" s="176">
        <v>5009</v>
      </c>
      <c r="C17" s="245"/>
      <c r="D17" s="447" t="s">
        <v>359</v>
      </c>
      <c r="E17" s="245"/>
      <c r="F17" s="609"/>
      <c r="G17" s="610"/>
      <c r="H17" s="609"/>
      <c r="I17" s="610"/>
      <c r="J17" s="609"/>
      <c r="K17" s="610"/>
      <c r="L17" s="609"/>
      <c r="M17" s="610"/>
      <c r="N17" s="610"/>
      <c r="O17" s="610"/>
      <c r="P17" s="609"/>
      <c r="Q17" s="610"/>
      <c r="R17" s="609"/>
      <c r="S17" s="610"/>
      <c r="T17" s="609"/>
      <c r="U17" s="610"/>
      <c r="V17" s="609"/>
      <c r="W17" s="610"/>
      <c r="X17" s="609"/>
      <c r="Y17" s="610"/>
      <c r="Z17" s="609"/>
      <c r="AA17" s="610"/>
      <c r="AB17" s="609"/>
      <c r="AC17" s="610"/>
      <c r="AD17" s="609"/>
      <c r="AE17" s="610"/>
      <c r="AF17" s="609"/>
      <c r="AG17" s="610"/>
      <c r="AH17" s="609"/>
      <c r="AI17" s="610"/>
      <c r="AJ17" s="609"/>
      <c r="AK17" s="610"/>
      <c r="AL17" s="609"/>
      <c r="AM17" s="610"/>
      <c r="AN17" s="609"/>
      <c r="AO17" s="610"/>
      <c r="AP17" s="609"/>
      <c r="AQ17" s="610"/>
      <c r="AR17" s="609"/>
      <c r="AS17" s="610"/>
      <c r="AT17" s="609"/>
      <c r="AU17" s="610"/>
      <c r="AV17" s="609"/>
      <c r="AW17" s="610"/>
      <c r="AZ17" s="245"/>
      <c r="BA17" s="448" t="s">
        <v>399</v>
      </c>
      <c r="BB17" s="245"/>
      <c r="BC17" s="245" t="s">
        <v>471</v>
      </c>
      <c r="BD17" s="246"/>
      <c r="BE17" s="78"/>
      <c r="BF17" s="246"/>
      <c r="BG17" s="449"/>
      <c r="BH17" s="246"/>
      <c r="BI17" s="449"/>
      <c r="BJ17" s="246"/>
      <c r="BK17" s="449"/>
      <c r="BL17" s="246"/>
      <c r="BM17" s="449"/>
      <c r="BN17" s="246"/>
      <c r="BO17" s="449"/>
      <c r="BP17" s="246"/>
      <c r="BQ17" s="449"/>
      <c r="BR17" s="246"/>
      <c r="BS17" s="245"/>
      <c r="BT17" s="246"/>
      <c r="BU17" s="245"/>
      <c r="BV17" s="246"/>
      <c r="BW17" s="245"/>
      <c r="BX17" s="246"/>
      <c r="BY17" s="245"/>
      <c r="BZ17" s="246"/>
      <c r="CA17" s="245"/>
      <c r="CB17" s="246"/>
      <c r="CC17" s="245"/>
      <c r="CD17" s="246"/>
      <c r="CE17" s="449"/>
      <c r="CF17" s="246"/>
      <c r="CG17" s="245"/>
      <c r="CH17" s="246"/>
      <c r="CI17" s="245"/>
      <c r="CJ17" s="246"/>
      <c r="CK17" s="245"/>
      <c r="CL17" s="246"/>
      <c r="CM17" s="81"/>
      <c r="CN17" s="246"/>
      <c r="CO17" s="245"/>
      <c r="CP17" s="246"/>
      <c r="CQ17" s="245"/>
      <c r="CR17" s="246"/>
      <c r="CS17" s="81"/>
      <c r="CT17" s="246"/>
    </row>
    <row r="18" spans="1:113" s="450" customFormat="1" ht="42" customHeight="1" x14ac:dyDescent="0.2">
      <c r="A18" s="378"/>
      <c r="B18" s="224">
        <v>277</v>
      </c>
      <c r="C18" s="375">
        <v>9</v>
      </c>
      <c r="D18" s="241" t="s">
        <v>268</v>
      </c>
      <c r="E18" s="235" t="s">
        <v>595</v>
      </c>
      <c r="F18" s="577"/>
      <c r="G18" s="592"/>
      <c r="H18" s="577"/>
      <c r="I18" s="592"/>
      <c r="J18" s="577"/>
      <c r="K18" s="592"/>
      <c r="L18" s="577"/>
      <c r="M18" s="592"/>
      <c r="N18" s="592"/>
      <c r="O18" s="592"/>
      <c r="P18" s="577"/>
      <c r="Q18" s="592"/>
      <c r="R18" s="577">
        <v>62.700000762939453</v>
      </c>
      <c r="S18" s="592"/>
      <c r="T18" s="577">
        <v>65.199996948242188</v>
      </c>
      <c r="U18" s="592"/>
      <c r="V18" s="577"/>
      <c r="W18" s="592"/>
      <c r="X18" s="577">
        <v>67.300003051757813</v>
      </c>
      <c r="Y18" s="592"/>
      <c r="Z18" s="605">
        <v>57.9</v>
      </c>
      <c r="AA18" s="669" t="s">
        <v>639</v>
      </c>
      <c r="AB18" s="605">
        <v>70.899999999999991</v>
      </c>
      <c r="AC18" s="669" t="s">
        <v>639</v>
      </c>
      <c r="AD18" s="605">
        <v>71.899999999999991</v>
      </c>
      <c r="AE18" s="669" t="s">
        <v>639</v>
      </c>
      <c r="AF18" s="605">
        <v>73.400000000000006</v>
      </c>
      <c r="AG18" s="669" t="s">
        <v>639</v>
      </c>
      <c r="AH18" s="605">
        <v>76.3</v>
      </c>
      <c r="AI18" s="669" t="s">
        <v>639</v>
      </c>
      <c r="AJ18" s="605">
        <v>76.5</v>
      </c>
      <c r="AK18" s="669" t="s">
        <v>639</v>
      </c>
      <c r="AL18" s="605">
        <v>77.5</v>
      </c>
      <c r="AM18" s="669" t="s">
        <v>639</v>
      </c>
      <c r="AN18" s="605">
        <v>79.5</v>
      </c>
      <c r="AO18" s="669" t="s">
        <v>639</v>
      </c>
      <c r="AP18" s="605">
        <v>80.2</v>
      </c>
      <c r="AQ18" s="669" t="s">
        <v>639</v>
      </c>
      <c r="AR18" s="605">
        <v>81.5</v>
      </c>
      <c r="AS18" s="669" t="s">
        <v>639</v>
      </c>
      <c r="AT18" s="605">
        <v>83</v>
      </c>
      <c r="AU18" s="669" t="s">
        <v>639</v>
      </c>
      <c r="AV18" s="667"/>
      <c r="AW18" s="592"/>
      <c r="AY18" s="377"/>
      <c r="AZ18" s="366">
        <v>9</v>
      </c>
      <c r="BA18" s="243" t="s">
        <v>417</v>
      </c>
      <c r="BB18" s="366" t="s">
        <v>595</v>
      </c>
      <c r="BC18" s="80" t="s">
        <v>471</v>
      </c>
      <c r="BD18" s="238"/>
      <c r="BE18" s="81" t="str">
        <f>IF(OR(ISBLANK(F18),ISBLANK(H18)),"N/A",IF(ABS(H18-F18)&gt;25,"&gt; 25%","ok"))</f>
        <v>N/A</v>
      </c>
      <c r="BF18" s="238"/>
      <c r="BG18" s="81" t="str">
        <f>IF(OR(ISBLANK(H18),ISBLANK(J18)),"N/A",IF(ABS(J18-H18)&gt;25,"&gt; 25%","ok"))</f>
        <v>N/A</v>
      </c>
      <c r="BH18" s="81"/>
      <c r="BI18" s="81" t="str">
        <f>IF(OR(ISBLANK(J18),ISBLANK(L18)),"N/A",IF(ABS(L18-J18)&gt;25,"&gt; 25%","ok"))</f>
        <v>N/A</v>
      </c>
      <c r="BJ18" s="81"/>
      <c r="BK18" s="81" t="str">
        <f>IF(OR(ISBLANK(L18),ISBLANK(N18)),"N/A",IF(ABS(N18-L18)&gt;25,"&gt; 25%","ok"))</f>
        <v>N/A</v>
      </c>
      <c r="BL18" s="81"/>
      <c r="BM18" s="81" t="str">
        <f>IF(OR(ISBLANK(N18),ISBLANK(P18)),"N/A",IF(ABS(P18-N18)&gt;25,"&gt; 25%","ok"))</f>
        <v>N/A</v>
      </c>
      <c r="BN18" s="81"/>
      <c r="BO18" s="81" t="str">
        <f>IF(OR(ISBLANK(P18),ISBLANK(R18)),"N/A",IF(ABS(R18-P18)&gt;25,"&gt; 25%","ok"))</f>
        <v>N/A</v>
      </c>
      <c r="BP18" s="81"/>
      <c r="BQ18" s="81" t="str">
        <f>IF(OR(ISBLANK(R18),ISBLANK(T18)),"N/A",IF(ABS(T18-R18)&gt;25,"&gt; 25%","ok"))</f>
        <v>ok</v>
      </c>
      <c r="BR18" s="81"/>
      <c r="BS18" s="81" t="str">
        <f>IF(OR(ISBLANK(T18),ISBLANK(V18)),"N/A",IF(ABS(V18-T18)&gt;25,"&gt; 25%","ok"))</f>
        <v>N/A</v>
      </c>
      <c r="BT18" s="81"/>
      <c r="BU18" s="81" t="str">
        <f>IF(OR(ISBLANK(V18),ISBLANK(X18)),"N/A",IF(ABS(X18-V18)&gt;25,"&gt; 25%","ok"))</f>
        <v>N/A</v>
      </c>
      <c r="BV18" s="81"/>
      <c r="BW18" s="81" t="str">
        <f>IF(OR(ISBLANK(X18),ISBLANK(Z18)),"N/A",IF(ABS(Z18-X18)&gt;25,"&gt; 25%","ok"))</f>
        <v>ok</v>
      </c>
      <c r="BX18" s="81"/>
      <c r="BY18" s="81" t="str">
        <f>IF(OR(ISBLANK(Z18),ISBLANK(AB18)),"N/A",IF(ABS(AB18-Z18)&gt;25,"&gt; 25%","ok"))</f>
        <v>ok</v>
      </c>
      <c r="BZ18" s="81"/>
      <c r="CA18" s="81" t="str">
        <f>IF(OR(ISBLANK(AB18),ISBLANK(AD18)),"N/A",IF(ABS(AD18-AB18)&gt;25,"&gt; 25%","ok"))</f>
        <v>ok</v>
      </c>
      <c r="CB18" s="81"/>
      <c r="CC18" s="81" t="str">
        <f>IF(OR(ISBLANK(AD18),ISBLANK(AF18)),"N/A",IF(ABS(AF18-AD18)&gt;25,"&gt; 25%","ok"))</f>
        <v>ok</v>
      </c>
      <c r="CD18" s="81"/>
      <c r="CE18" s="81" t="str">
        <f>IF(OR(ISBLANK(AF18),ISBLANK(AH18)),"N/A",IF(ABS(AH18-AF18)&gt;25,"&gt; 25%","ok"))</f>
        <v>ok</v>
      </c>
      <c r="CF18" s="81"/>
      <c r="CG18" s="81" t="str">
        <f>IF(OR(ISBLANK(AH18),ISBLANK(AJ18)),"N/A",IF(ABS(AJ18-AH18)&gt;25,"&gt; 25%","ok"))</f>
        <v>ok</v>
      </c>
      <c r="CH18" s="81"/>
      <c r="CI18" s="81" t="str">
        <f>IF(OR(ISBLANK(AJ18),ISBLANK(AL18)),"N/A",IF(ABS(AL18-AJ18)&gt;25,"&gt; 25%","ok"))</f>
        <v>ok</v>
      </c>
      <c r="CJ18" s="81"/>
      <c r="CK18" s="81" t="str">
        <f>IF(OR(ISBLANK(AL18),ISBLANK(AN18)),"N/A",IF(ABS(AN18-AL18)&gt;25,"&gt; 25%","ok"))</f>
        <v>ok</v>
      </c>
      <c r="CL18" s="81"/>
      <c r="CM18" s="81" t="str">
        <f t="shared" si="13"/>
        <v>ok</v>
      </c>
      <c r="CN18" s="238"/>
      <c r="CO18" s="81" t="str">
        <f>IF(OR(ISBLANK(AP18),ISBLANK(AR18)),"N/A",IF(ABS(AR18-AP18)&gt;25,"&gt; 25%","ok"))</f>
        <v>ok</v>
      </c>
      <c r="CP18" s="81"/>
      <c r="CQ18" s="81" t="str">
        <f>IF(OR(ISBLANK(AR18),ISBLANK(AT18)),"N/A",IF(ABS(AT18-AR18)&gt;25,"&gt; 25%","ok"))</f>
        <v>ok</v>
      </c>
      <c r="CR18" s="81"/>
      <c r="CS18" s="81" t="str">
        <f t="shared" si="14"/>
        <v>N/A</v>
      </c>
      <c r="CT18" s="238"/>
    </row>
    <row r="19" spans="1:113" s="450" customFormat="1" ht="26.1" customHeight="1" x14ac:dyDescent="0.2">
      <c r="A19" s="378"/>
      <c r="B19" s="224">
        <v>261</v>
      </c>
      <c r="C19" s="242">
        <v>10</v>
      </c>
      <c r="D19" s="239" t="s">
        <v>270</v>
      </c>
      <c r="E19" s="235" t="s">
        <v>595</v>
      </c>
      <c r="F19" s="577"/>
      <c r="G19" s="592"/>
      <c r="H19" s="577"/>
      <c r="I19" s="592"/>
      <c r="J19" s="577"/>
      <c r="K19" s="592"/>
      <c r="L19" s="577"/>
      <c r="M19" s="592"/>
      <c r="N19" s="592"/>
      <c r="O19" s="592"/>
      <c r="P19" s="577"/>
      <c r="Q19" s="592"/>
      <c r="R19" s="577"/>
      <c r="S19" s="592"/>
      <c r="T19" s="577"/>
      <c r="U19" s="592"/>
      <c r="V19" s="577"/>
      <c r="W19" s="592"/>
      <c r="X19" s="577"/>
      <c r="Y19" s="592"/>
      <c r="Z19" s="605">
        <v>85.1</v>
      </c>
      <c r="AA19" s="669" t="s">
        <v>639</v>
      </c>
      <c r="AB19" s="605">
        <v>95.6</v>
      </c>
      <c r="AC19" s="669" t="s">
        <v>639</v>
      </c>
      <c r="AD19" s="605">
        <v>94.3</v>
      </c>
      <c r="AE19" s="669" t="s">
        <v>639</v>
      </c>
      <c r="AF19" s="605">
        <v>95.8</v>
      </c>
      <c r="AG19" s="669" t="s">
        <v>639</v>
      </c>
      <c r="AH19" s="605">
        <v>95.5</v>
      </c>
      <c r="AI19" s="669" t="s">
        <v>639</v>
      </c>
      <c r="AJ19" s="605">
        <v>96.2</v>
      </c>
      <c r="AK19" s="669" t="s">
        <v>639</v>
      </c>
      <c r="AL19" s="605">
        <v>96.3</v>
      </c>
      <c r="AM19" s="669" t="s">
        <v>639</v>
      </c>
      <c r="AN19" s="605">
        <v>96.5</v>
      </c>
      <c r="AO19" s="669" t="s">
        <v>639</v>
      </c>
      <c r="AP19" s="605">
        <v>96.6</v>
      </c>
      <c r="AQ19" s="669" t="s">
        <v>639</v>
      </c>
      <c r="AR19" s="605">
        <v>97.3</v>
      </c>
      <c r="AS19" s="669" t="s">
        <v>639</v>
      </c>
      <c r="AT19" s="605">
        <v>97.399999999999991</v>
      </c>
      <c r="AU19" s="669" t="s">
        <v>639</v>
      </c>
      <c r="AV19" s="667"/>
      <c r="AW19" s="592"/>
      <c r="AY19" s="643"/>
      <c r="AZ19" s="80">
        <v>10</v>
      </c>
      <c r="BA19" s="237" t="s">
        <v>402</v>
      </c>
      <c r="BB19" s="80" t="s">
        <v>595</v>
      </c>
      <c r="BC19" s="80" t="s">
        <v>471</v>
      </c>
      <c r="BD19" s="238"/>
      <c r="BE19" s="81" t="str">
        <f>IF(OR(ISBLANK(F19),ISBLANK(H19)),"N/A",IF(ABS(H19-F19)&gt;25,"&gt; 25%","ok"))</f>
        <v>N/A</v>
      </c>
      <c r="BF19" s="238"/>
      <c r="BG19" s="81" t="str">
        <f>IF(OR(ISBLANK(H19),ISBLANK(J19)),"N/A",IF(ABS(J19-H19)&gt;25,"&gt; 25%","ok"))</f>
        <v>N/A</v>
      </c>
      <c r="BH19" s="81"/>
      <c r="BI19" s="81" t="str">
        <f>IF(OR(ISBLANK(J19),ISBLANK(L19)),"N/A",IF(ABS(L19-J19)&gt;25,"&gt; 25%","ok"))</f>
        <v>N/A</v>
      </c>
      <c r="BJ19" s="81"/>
      <c r="BK19" s="81" t="str">
        <f>IF(OR(ISBLANK(L19),ISBLANK(N19)),"N/A",IF(ABS(N19-L19)&gt;25,"&gt; 25%","ok"))</f>
        <v>N/A</v>
      </c>
      <c r="BL19" s="81"/>
      <c r="BM19" s="81" t="str">
        <f>IF(OR(ISBLANK(N19),ISBLANK(P19)),"N/A",IF(ABS(P19-N19)&gt;25,"&gt; 25%","ok"))</f>
        <v>N/A</v>
      </c>
      <c r="BN19" s="81"/>
      <c r="BO19" s="81" t="str">
        <f>IF(OR(ISBLANK(P19),ISBLANK(R19)),"N/A",IF(ABS(R19-P19)&gt;25,"&gt; 25%","ok"))</f>
        <v>N/A</v>
      </c>
      <c r="BP19" s="81"/>
      <c r="BQ19" s="81" t="str">
        <f>IF(OR(ISBLANK(R19),ISBLANK(T19)),"N/A",IF(ABS(T19-R19)&gt;25,"&gt; 25%","ok"))</f>
        <v>N/A</v>
      </c>
      <c r="BR19" s="81"/>
      <c r="BS19" s="81" t="str">
        <f>IF(OR(ISBLANK(T19),ISBLANK(V19)),"N/A",IF(ABS(V19-T19)&gt;25,"&gt; 25%","ok"))</f>
        <v>N/A</v>
      </c>
      <c r="BT19" s="81"/>
      <c r="BU19" s="81" t="str">
        <f>IF(OR(ISBLANK(V19),ISBLANK(X19)),"N/A",IF(ABS(X19-V19)&gt;25,"&gt; 25%","ok"))</f>
        <v>N/A</v>
      </c>
      <c r="BV19" s="81"/>
      <c r="BW19" s="81" t="str">
        <f>IF(OR(ISBLANK(X19),ISBLANK(Z19)),"N/A",IF(ABS(Z19-X19)&gt;25,"&gt; 25%","ok"))</f>
        <v>N/A</v>
      </c>
      <c r="BX19" s="81"/>
      <c r="BY19" s="81" t="str">
        <f>IF(OR(ISBLANK(Z19),ISBLANK(AB19)),"N/A",IF(ABS(AB19-Z19)&gt;25,"&gt; 25%","ok"))</f>
        <v>ok</v>
      </c>
      <c r="BZ19" s="81"/>
      <c r="CA19" s="81" t="str">
        <f>IF(OR(ISBLANK(AB19),ISBLANK(AD19)),"N/A",IF(ABS(AD19-AB19)&gt;25,"&gt; 25%","ok"))</f>
        <v>ok</v>
      </c>
      <c r="CB19" s="81"/>
      <c r="CC19" s="81" t="str">
        <f>IF(OR(ISBLANK(AD19),ISBLANK(AF19)),"N/A",IF(ABS(AF19-AD19)&gt;25,"&gt; 25%","ok"))</f>
        <v>ok</v>
      </c>
      <c r="CD19" s="81"/>
      <c r="CE19" s="81" t="str">
        <f>IF(OR(ISBLANK(AF19),ISBLANK(AH19)),"N/A",IF(ABS(AH19-AF19)&gt;25,"&gt; 25%","ok"))</f>
        <v>ok</v>
      </c>
      <c r="CF19" s="81"/>
      <c r="CG19" s="81" t="str">
        <f>IF(OR(ISBLANK(AH19),ISBLANK(AJ19)),"N/A",IF(ABS(AJ19-AH19)&gt;25,"&gt; 25%","ok"))</f>
        <v>ok</v>
      </c>
      <c r="CH19" s="81"/>
      <c r="CI19" s="81" t="str">
        <f>IF(OR(ISBLANK(AJ19),ISBLANK(AL19)),"N/A",IF(ABS(AL19-AJ19)&gt;25,"&gt; 25%","ok"))</f>
        <v>ok</v>
      </c>
      <c r="CJ19" s="81"/>
      <c r="CK19" s="81" t="str">
        <f>IF(OR(ISBLANK(AL19),ISBLANK(AN19)),"N/A",IF(ABS(AN19-AL19)&gt;25,"&gt; 25%","ok"))</f>
        <v>ok</v>
      </c>
      <c r="CL19" s="81"/>
      <c r="CM19" s="81" t="str">
        <f t="shared" si="13"/>
        <v>ok</v>
      </c>
      <c r="CN19" s="238"/>
      <c r="CO19" s="81" t="str">
        <f>IF(OR(ISBLANK(AP19),ISBLANK(AR19)),"N/A",IF(ABS(AR19-AP19)&gt;25,"&gt; 25%","ok"))</f>
        <v>ok</v>
      </c>
      <c r="CP19" s="81"/>
      <c r="CQ19" s="81" t="str">
        <f>IF(OR(ISBLANK(AR19),ISBLANK(AT19)),"N/A",IF(ABS(AT19-AR19)&gt;25,"&gt; 25%","ok"))</f>
        <v>ok</v>
      </c>
      <c r="CR19" s="81"/>
      <c r="CS19" s="81" t="str">
        <f t="shared" si="14"/>
        <v>N/A</v>
      </c>
      <c r="CT19" s="238"/>
    </row>
    <row r="20" spans="1:113" s="450" customFormat="1" ht="26.1" customHeight="1" x14ac:dyDescent="0.2">
      <c r="A20" s="378"/>
      <c r="B20" s="224">
        <v>262</v>
      </c>
      <c r="C20" s="383">
        <v>11</v>
      </c>
      <c r="D20" s="255" t="s">
        <v>543</v>
      </c>
      <c r="E20" s="253" t="s">
        <v>595</v>
      </c>
      <c r="F20" s="578"/>
      <c r="G20" s="598"/>
      <c r="H20" s="578"/>
      <c r="I20" s="598"/>
      <c r="J20" s="578"/>
      <c r="K20" s="598"/>
      <c r="L20" s="578"/>
      <c r="M20" s="598"/>
      <c r="N20" s="598"/>
      <c r="O20" s="598"/>
      <c r="P20" s="578"/>
      <c r="Q20" s="598"/>
      <c r="R20" s="578"/>
      <c r="S20" s="598"/>
      <c r="T20" s="578"/>
      <c r="U20" s="598"/>
      <c r="V20" s="578"/>
      <c r="W20" s="598"/>
      <c r="X20" s="578"/>
      <c r="Y20" s="598"/>
      <c r="Z20" s="605">
        <v>17.2</v>
      </c>
      <c r="AA20" s="669" t="s">
        <v>639</v>
      </c>
      <c r="AB20" s="605">
        <v>32.5</v>
      </c>
      <c r="AC20" s="669" t="s">
        <v>639</v>
      </c>
      <c r="AD20" s="605">
        <v>36.700000000000003</v>
      </c>
      <c r="AE20" s="669" t="s">
        <v>639</v>
      </c>
      <c r="AF20" s="605">
        <v>39.200000000000003</v>
      </c>
      <c r="AG20" s="669" t="s">
        <v>639</v>
      </c>
      <c r="AH20" s="605">
        <v>43.2</v>
      </c>
      <c r="AI20" s="669" t="s">
        <v>639</v>
      </c>
      <c r="AJ20" s="605">
        <v>43.4</v>
      </c>
      <c r="AK20" s="669" t="s">
        <v>639</v>
      </c>
      <c r="AL20" s="605">
        <v>44.7</v>
      </c>
      <c r="AM20" s="669" t="s">
        <v>639</v>
      </c>
      <c r="AN20" s="605">
        <v>48.8</v>
      </c>
      <c r="AO20" s="669" t="s">
        <v>639</v>
      </c>
      <c r="AP20" s="605">
        <v>50.5</v>
      </c>
      <c r="AQ20" s="669" t="s">
        <v>639</v>
      </c>
      <c r="AR20" s="605">
        <v>52.300000000000004</v>
      </c>
      <c r="AS20" s="669" t="s">
        <v>639</v>
      </c>
      <c r="AT20" s="605">
        <v>55.300000000000004</v>
      </c>
      <c r="AU20" s="669" t="s">
        <v>639</v>
      </c>
      <c r="AV20" s="667"/>
      <c r="AW20" s="598"/>
      <c r="AY20" s="643"/>
      <c r="AZ20" s="93">
        <v>11</v>
      </c>
      <c r="BA20" s="451" t="s">
        <v>403</v>
      </c>
      <c r="BB20" s="93" t="s">
        <v>595</v>
      </c>
      <c r="BC20" s="93" t="s">
        <v>471</v>
      </c>
      <c r="BD20" s="260"/>
      <c r="BE20" s="79" t="str">
        <f>IF(OR(ISBLANK(F20),ISBLANK(H20)),"N/A",IF(ABS(H20-F20)&gt;25,"&gt; 25%","ok"))</f>
        <v>N/A</v>
      </c>
      <c r="BF20" s="260"/>
      <c r="BG20" s="79" t="str">
        <f>IF(OR(ISBLANK(H20),ISBLANK(J20)),"N/A",IF(ABS(J20-H20)&gt;25,"&gt; 25%","ok"))</f>
        <v>N/A</v>
      </c>
      <c r="BH20" s="79"/>
      <c r="BI20" s="79" t="str">
        <f>IF(OR(ISBLANK(J20),ISBLANK(L20)),"N/A",IF(ABS(L20-J20)&gt;25,"&gt; 25%","ok"))</f>
        <v>N/A</v>
      </c>
      <c r="BJ20" s="79"/>
      <c r="BK20" s="79" t="str">
        <f>IF(OR(ISBLANK(L20),ISBLANK(N20)),"N/A",IF(ABS(N20-L20)&gt;25,"&gt; 25%","ok"))</f>
        <v>N/A</v>
      </c>
      <c r="BL20" s="79"/>
      <c r="BM20" s="79" t="str">
        <f>IF(OR(ISBLANK(N20),ISBLANK(P20)),"N/A",IF(ABS(P20-N20)&gt;25,"&gt; 25%","ok"))</f>
        <v>N/A</v>
      </c>
      <c r="BN20" s="79"/>
      <c r="BO20" s="79" t="str">
        <f>IF(OR(ISBLANK(P20),ISBLANK(R20)),"N/A",IF(ABS(R20-P20)&gt;25,"&gt; 25%","ok"))</f>
        <v>N/A</v>
      </c>
      <c r="BP20" s="79"/>
      <c r="BQ20" s="79" t="str">
        <f>IF(OR(ISBLANK(R20),ISBLANK(T20)),"N/A",IF(ABS(T20-R20)&gt;25,"&gt; 25%","ok"))</f>
        <v>N/A</v>
      </c>
      <c r="BR20" s="79"/>
      <c r="BS20" s="79" t="str">
        <f>IF(OR(ISBLANK(T20),ISBLANK(V20)),"N/A",IF(ABS(V20-T20)&gt;25,"&gt; 25%","ok"))</f>
        <v>N/A</v>
      </c>
      <c r="BT20" s="79"/>
      <c r="BU20" s="79" t="str">
        <f>IF(OR(ISBLANK(V20),ISBLANK(X20)),"N/A",IF(ABS(X20-V20)&gt;25,"&gt; 25%","ok"))</f>
        <v>N/A</v>
      </c>
      <c r="BV20" s="79"/>
      <c r="BW20" s="79" t="str">
        <f>IF(OR(ISBLANK(X20),ISBLANK(Z20)),"N/A",IF(ABS(Z20-X20)&gt;25,"&gt; 25%","ok"))</f>
        <v>N/A</v>
      </c>
      <c r="BX20" s="79"/>
      <c r="BY20" s="79" t="str">
        <f>IF(OR(ISBLANK(Z20),ISBLANK(AB20)),"N/A",IF(ABS(AB20-Z20)&gt;25,"&gt; 25%","ok"))</f>
        <v>ok</v>
      </c>
      <c r="BZ20" s="79"/>
      <c r="CA20" s="79" t="str">
        <f>IF(OR(ISBLANK(AB20),ISBLANK(AD20)),"N/A",IF(ABS(AD20-AB20)&gt;25,"&gt; 25%","ok"))</f>
        <v>ok</v>
      </c>
      <c r="CB20" s="79"/>
      <c r="CC20" s="79" t="str">
        <f>IF(OR(ISBLANK(AD20),ISBLANK(AF20)),"N/A",IF(ABS(AF20-AD20)&gt;25,"&gt; 25%","ok"))</f>
        <v>ok</v>
      </c>
      <c r="CD20" s="79"/>
      <c r="CE20" s="79" t="str">
        <f>IF(OR(ISBLANK(AF20),ISBLANK(AH20)),"N/A",IF(ABS(AH20-AF20)&gt;25,"&gt; 25%","ok"))</f>
        <v>ok</v>
      </c>
      <c r="CF20" s="79"/>
      <c r="CG20" s="79" t="str">
        <f>IF(OR(ISBLANK(AH20),ISBLANK(AJ20)),"N/A",IF(ABS(AJ20-AH20)&gt;25,"&gt; 25%","ok"))</f>
        <v>ok</v>
      </c>
      <c r="CH20" s="79"/>
      <c r="CI20" s="79" t="str">
        <f>IF(OR(ISBLANK(AJ20),ISBLANK(AL20)),"N/A",IF(ABS(AL20-AJ20)&gt;25,"&gt; 25%","ok"))</f>
        <v>ok</v>
      </c>
      <c r="CJ20" s="79"/>
      <c r="CK20" s="79" t="str">
        <f>IF(OR(ISBLANK(AL20),ISBLANK(AN20)),"N/A",IF(ABS(AN20-AL20)&gt;25,"&gt; 25%","ok"))</f>
        <v>ok</v>
      </c>
      <c r="CL20" s="79"/>
      <c r="CM20" s="79" t="str">
        <f t="shared" si="13"/>
        <v>ok</v>
      </c>
      <c r="CN20" s="260"/>
      <c r="CO20" s="79" t="str">
        <f>IF(OR(ISBLANK(AP20),ISBLANK(AR20)),"N/A",IF(ABS(AR20-AP20)&gt;25,"&gt; 25%","ok"))</f>
        <v>ok</v>
      </c>
      <c r="CP20" s="79"/>
      <c r="CQ20" s="79" t="str">
        <f>IF(OR(ISBLANK(AR20),ISBLANK(AT20)),"N/A",IF(ABS(AT20-AR20)&gt;25,"&gt; 25%","ok"))</f>
        <v>ok</v>
      </c>
      <c r="CR20" s="79"/>
      <c r="CS20" s="79" t="str">
        <f t="shared" si="14"/>
        <v>N/A</v>
      </c>
      <c r="CT20" s="260"/>
    </row>
    <row r="21" spans="1:113" ht="12" customHeight="1" x14ac:dyDescent="0.2">
      <c r="D21" s="258"/>
      <c r="Z21" s="270"/>
      <c r="AA21" s="271"/>
      <c r="AB21" s="270"/>
      <c r="AC21" s="271"/>
      <c r="AD21" s="270"/>
      <c r="AE21" s="271"/>
      <c r="AF21" s="270"/>
      <c r="AG21" s="271"/>
      <c r="AH21" s="270"/>
      <c r="AI21" s="271"/>
      <c r="AJ21" s="272"/>
      <c r="AK21" s="271"/>
      <c r="AL21" s="270"/>
      <c r="AM21" s="271"/>
      <c r="AN21" s="270"/>
      <c r="AO21" s="271"/>
      <c r="AP21" s="271"/>
      <c r="AQ21" s="271"/>
      <c r="AR21" s="271"/>
      <c r="AS21" s="271"/>
      <c r="AT21" s="270"/>
      <c r="AU21" s="271"/>
      <c r="AZ21" s="357" t="s">
        <v>630</v>
      </c>
    </row>
    <row r="22" spans="1:113" ht="15" customHeight="1" x14ac:dyDescent="0.25">
      <c r="C22" s="347" t="s">
        <v>602</v>
      </c>
      <c r="D22" s="452"/>
      <c r="E22" s="453"/>
      <c r="F22" s="347"/>
      <c r="G22" s="347"/>
      <c r="AZ22" s="218" t="s">
        <v>600</v>
      </c>
      <c r="BA22" s="218" t="s">
        <v>601</v>
      </c>
      <c r="BB22" s="218" t="s">
        <v>603</v>
      </c>
      <c r="BC22" s="617">
        <v>1990</v>
      </c>
      <c r="BD22" s="618"/>
      <c r="BE22" s="617">
        <v>1995</v>
      </c>
      <c r="BF22" s="618"/>
      <c r="BG22" s="617">
        <v>1996</v>
      </c>
      <c r="BH22" s="618"/>
      <c r="BI22" s="617">
        <v>1997</v>
      </c>
      <c r="BJ22" s="618"/>
      <c r="BK22" s="617">
        <v>1998</v>
      </c>
      <c r="BL22" s="618"/>
      <c r="BM22" s="617">
        <v>1999</v>
      </c>
      <c r="BN22" s="618"/>
      <c r="BO22" s="617">
        <v>2000</v>
      </c>
      <c r="BP22" s="618"/>
      <c r="BQ22" s="617">
        <v>2001</v>
      </c>
      <c r="BR22" s="618"/>
      <c r="BS22" s="617">
        <v>2002</v>
      </c>
      <c r="BT22" s="618"/>
      <c r="BU22" s="617">
        <v>2003</v>
      </c>
      <c r="BV22" s="618"/>
      <c r="BW22" s="617">
        <v>2004</v>
      </c>
      <c r="BX22" s="618"/>
      <c r="BY22" s="617">
        <v>2005</v>
      </c>
      <c r="BZ22" s="618"/>
      <c r="CA22" s="617">
        <v>2006</v>
      </c>
      <c r="CB22" s="618"/>
      <c r="CC22" s="617">
        <v>2007</v>
      </c>
      <c r="CD22" s="618"/>
      <c r="CE22" s="617">
        <v>2008</v>
      </c>
      <c r="CF22" s="618"/>
      <c r="CG22" s="617">
        <v>2009</v>
      </c>
      <c r="CH22" s="618"/>
      <c r="CI22" s="617">
        <v>2010</v>
      </c>
      <c r="CJ22" s="618"/>
      <c r="CK22" s="617">
        <v>2011</v>
      </c>
      <c r="CL22" s="619"/>
      <c r="CM22" s="617">
        <v>2012</v>
      </c>
      <c r="CN22" s="618"/>
      <c r="CO22" s="617">
        <v>2013</v>
      </c>
      <c r="CP22" s="618"/>
      <c r="CQ22" s="617">
        <v>2014</v>
      </c>
      <c r="CR22" s="619"/>
      <c r="CS22" s="617">
        <v>2015</v>
      </c>
      <c r="CT22" s="219"/>
    </row>
    <row r="23" spans="1:113" ht="21.75" customHeight="1" x14ac:dyDescent="0.2">
      <c r="C23" s="273" t="s">
        <v>490</v>
      </c>
      <c r="D23" s="730" t="s">
        <v>314</v>
      </c>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0"/>
      <c r="AX23" s="730"/>
      <c r="AY23" s="454"/>
      <c r="AZ23" s="80">
        <v>3</v>
      </c>
      <c r="BA23" s="455" t="s">
        <v>418</v>
      </c>
      <c r="BB23" s="80" t="s">
        <v>468</v>
      </c>
      <c r="BC23" s="80">
        <f>F10</f>
        <v>0</v>
      </c>
      <c r="BD23" s="80"/>
      <c r="BE23" s="80">
        <f>H10</f>
        <v>0</v>
      </c>
      <c r="BF23" s="80"/>
      <c r="BG23" s="80">
        <f>J10</f>
        <v>0</v>
      </c>
      <c r="BH23" s="80"/>
      <c r="BI23" s="80">
        <f>L10</f>
        <v>0</v>
      </c>
      <c r="BJ23" s="80"/>
      <c r="BK23" s="80">
        <f>N10</f>
        <v>0</v>
      </c>
      <c r="BL23" s="80"/>
      <c r="BM23" s="80">
        <f>P10</f>
        <v>0</v>
      </c>
      <c r="BN23" s="80"/>
      <c r="BO23" s="80">
        <f>R10</f>
        <v>0</v>
      </c>
      <c r="BP23" s="80"/>
      <c r="BQ23" s="80">
        <f>T10</f>
        <v>0</v>
      </c>
      <c r="BR23" s="80"/>
      <c r="BS23" s="80">
        <f>V10</f>
        <v>0</v>
      </c>
      <c r="BT23" s="80"/>
      <c r="BU23" s="80">
        <f>X10</f>
        <v>0</v>
      </c>
      <c r="BV23" s="80"/>
      <c r="BW23" s="80">
        <f>Z10</f>
        <v>0</v>
      </c>
      <c r="BX23" s="80"/>
      <c r="BY23" s="80">
        <f>AB10</f>
        <v>0</v>
      </c>
      <c r="BZ23" s="80"/>
      <c r="CA23" s="80">
        <f>AD10</f>
        <v>0</v>
      </c>
      <c r="CB23" s="80"/>
      <c r="CC23" s="80">
        <f>AF10</f>
        <v>0</v>
      </c>
      <c r="CD23" s="80"/>
      <c r="CE23" s="80">
        <f>AH10</f>
        <v>0</v>
      </c>
      <c r="CF23" s="80"/>
      <c r="CG23" s="80">
        <f>AJ10</f>
        <v>0</v>
      </c>
      <c r="CH23" s="80"/>
      <c r="CI23" s="80">
        <f>AL10</f>
        <v>0</v>
      </c>
      <c r="CJ23" s="80"/>
      <c r="CK23" s="80">
        <f>AN10</f>
        <v>0</v>
      </c>
      <c r="CL23" s="80"/>
      <c r="CM23" s="80">
        <f>AP10</f>
        <v>0</v>
      </c>
      <c r="CN23" s="238"/>
      <c r="CO23" s="80">
        <f>AR10</f>
        <v>0</v>
      </c>
      <c r="CP23" s="80"/>
      <c r="CQ23" s="80">
        <f>AT10</f>
        <v>0</v>
      </c>
      <c r="CR23" s="80"/>
      <c r="CS23" s="80">
        <f>AV10</f>
        <v>0</v>
      </c>
      <c r="CT23" s="238"/>
    </row>
    <row r="24" spans="1:113" s="432" customFormat="1" ht="25.5" customHeight="1" x14ac:dyDescent="0.2">
      <c r="A24" s="275"/>
      <c r="B24" s="275"/>
      <c r="C24" s="273" t="s">
        <v>490</v>
      </c>
      <c r="D24" s="739" t="s">
        <v>181</v>
      </c>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454"/>
      <c r="AZ24" s="299">
        <v>12</v>
      </c>
      <c r="BA24" s="456" t="s">
        <v>435</v>
      </c>
      <c r="BB24" s="80" t="s">
        <v>468</v>
      </c>
      <c r="BC24" s="80">
        <f>F8-F9</f>
        <v>0</v>
      </c>
      <c r="BD24" s="80"/>
      <c r="BE24" s="80">
        <f>H8-H9</f>
        <v>0</v>
      </c>
      <c r="BF24" s="80"/>
      <c r="BG24" s="80">
        <f>J8-J9</f>
        <v>0</v>
      </c>
      <c r="BH24" s="80"/>
      <c r="BI24" s="80">
        <f>L8-L9</f>
        <v>0</v>
      </c>
      <c r="BJ24" s="80"/>
      <c r="BK24" s="80">
        <f>N8-N9</f>
        <v>0</v>
      </c>
      <c r="BL24" s="80"/>
      <c r="BM24" s="80">
        <f>P8-P9</f>
        <v>0</v>
      </c>
      <c r="BN24" s="80"/>
      <c r="BO24" s="80">
        <f>R8-R9</f>
        <v>0</v>
      </c>
      <c r="BP24" s="80"/>
      <c r="BQ24" s="80">
        <f>T8-T9</f>
        <v>0</v>
      </c>
      <c r="BR24" s="80"/>
      <c r="BS24" s="80">
        <f>V8-V9</f>
        <v>0</v>
      </c>
      <c r="BT24" s="80"/>
      <c r="BU24" s="80">
        <f>X8-X9</f>
        <v>0</v>
      </c>
      <c r="BV24" s="80"/>
      <c r="BW24" s="80">
        <f>Z8-Z9</f>
        <v>0</v>
      </c>
      <c r="BX24" s="80"/>
      <c r="BY24" s="80">
        <f>AB8-AB9</f>
        <v>0</v>
      </c>
      <c r="BZ24" s="80"/>
      <c r="CA24" s="80">
        <f>AD8-AD9</f>
        <v>0</v>
      </c>
      <c r="CB24" s="80"/>
      <c r="CC24" s="80">
        <f>AF8-AF9</f>
        <v>0</v>
      </c>
      <c r="CD24" s="80"/>
      <c r="CE24" s="80">
        <f>AH8-AH9</f>
        <v>0</v>
      </c>
      <c r="CF24" s="80"/>
      <c r="CG24" s="80">
        <f>AJ8-AJ9</f>
        <v>0</v>
      </c>
      <c r="CH24" s="80"/>
      <c r="CI24" s="80">
        <f>AL8-AL9</f>
        <v>0</v>
      </c>
      <c r="CJ24" s="80"/>
      <c r="CK24" s="80">
        <f>AN8-AN9</f>
        <v>0</v>
      </c>
      <c r="CL24" s="80"/>
      <c r="CM24" s="80">
        <f>AP8-AP9</f>
        <v>0</v>
      </c>
      <c r="CN24" s="238"/>
      <c r="CO24" s="80">
        <f>AR8-AR9</f>
        <v>0</v>
      </c>
      <c r="CP24" s="80"/>
      <c r="CQ24" s="80">
        <f>AT8-AT9</f>
        <v>0</v>
      </c>
      <c r="CR24" s="80"/>
      <c r="CS24" s="80">
        <f>AV8-AV9</f>
        <v>0</v>
      </c>
      <c r="CT24" s="238"/>
      <c r="CU24" s="457"/>
      <c r="CV24" s="457"/>
      <c r="CW24" s="457"/>
      <c r="CX24" s="457"/>
      <c r="CY24" s="457"/>
      <c r="CZ24" s="457"/>
      <c r="DA24" s="457"/>
      <c r="DB24" s="457"/>
      <c r="DC24" s="457"/>
      <c r="DD24" s="457"/>
      <c r="DE24" s="457"/>
      <c r="DF24" s="457"/>
      <c r="DG24" s="457"/>
      <c r="DH24" s="457"/>
      <c r="DI24" s="457"/>
    </row>
    <row r="25" spans="1:113" s="432" customFormat="1" ht="14.25" customHeight="1" x14ac:dyDescent="0.2">
      <c r="A25" s="275"/>
      <c r="B25" s="275"/>
      <c r="C25" s="273" t="s">
        <v>490</v>
      </c>
      <c r="D25" s="730" t="s">
        <v>342</v>
      </c>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274"/>
      <c r="AW25" s="274"/>
      <c r="AX25" s="274"/>
      <c r="AY25" s="454"/>
      <c r="AZ25" s="284" t="s">
        <v>494</v>
      </c>
      <c r="BA25" s="281" t="s">
        <v>35</v>
      </c>
      <c r="BB25" s="80"/>
      <c r="BC25" s="80" t="str">
        <f>IF(OR(ISBLANK(F8),ISBLANK(F9),ISBLANK(F10)),"N/A",IF((BC23=BC24),"ok","&lt;&gt;"))</f>
        <v>N/A</v>
      </c>
      <c r="BD25" s="80"/>
      <c r="BE25" s="80" t="str">
        <f>IF(OR(ISBLANK(H8),ISBLANK(H9),ISBLANK(H10)),"N/A",IF((BE23=BE24),"ok","&lt;&gt;"))</f>
        <v>N/A</v>
      </c>
      <c r="BF25" s="80"/>
      <c r="BG25" s="80" t="str">
        <f>IF(OR(ISBLANK(J8),ISBLANK(J9),ISBLANK(J10)),"N/A",IF((BG23=BG24),"ok","&lt;&gt;"))</f>
        <v>N/A</v>
      </c>
      <c r="BH25" s="80"/>
      <c r="BI25" s="80" t="str">
        <f>IF(OR(ISBLANK(L8),ISBLANK(L9),ISBLANK(L10)),"N/A",IF((BI23=BI24),"ok","&lt;&gt;"))</f>
        <v>N/A</v>
      </c>
      <c r="BJ25" s="80"/>
      <c r="BK25" s="80" t="str">
        <f>IF(OR(ISBLANK(N8),ISBLANK(N9),ISBLANK(N10)),"N/A",IF((BK23=BK24),"ok","&lt;&gt;"))</f>
        <v>N/A</v>
      </c>
      <c r="BL25" s="80"/>
      <c r="BM25" s="80" t="str">
        <f>IF(OR(ISBLANK(P8),ISBLANK(P9),ISBLANK(P10)),"N/A",IF((BM23=BM24),"ok","&lt;&gt;"))</f>
        <v>N/A</v>
      </c>
      <c r="BN25" s="80"/>
      <c r="BO25" s="80" t="str">
        <f>IF(OR(ISBLANK(R8),ISBLANK(R9),ISBLANK(R10)),"N/A",IF((BO23=BO24),"ok","&lt;&gt;"))</f>
        <v>N/A</v>
      </c>
      <c r="BP25" s="80"/>
      <c r="BQ25" s="80" t="str">
        <f>IF(OR(ISBLANK(T8),ISBLANK(T9),ISBLANK(T10)),"N/A",IF((BQ23=BQ24),"ok","&lt;&gt;"))</f>
        <v>N/A</v>
      </c>
      <c r="BR25" s="80"/>
      <c r="BS25" s="80" t="str">
        <f>IF(OR(ISBLANK(V8),ISBLANK(V9),ISBLANK(V10)),"N/A",IF((BS23=BS24),"ok","&lt;&gt;"))</f>
        <v>N/A</v>
      </c>
      <c r="BT25" s="80"/>
      <c r="BU25" s="80" t="str">
        <f>IF(OR(ISBLANK(X8),ISBLANK(X9),ISBLANK(X10)),"N/A",IF((BU23=BU24),"ok","&lt;&gt;"))</f>
        <v>N/A</v>
      </c>
      <c r="BV25" s="80"/>
      <c r="BW25" s="80" t="str">
        <f>IF(OR(ISBLANK(Z8),ISBLANK(Z9),ISBLANK(Z10)),"N/A",IF((BW23=BW24),"ok","&lt;&gt;"))</f>
        <v>N/A</v>
      </c>
      <c r="BX25" s="80"/>
      <c r="BY25" s="80" t="str">
        <f>IF(OR(ISBLANK(AB8),ISBLANK(AB9),ISBLANK(AB10)),"N/A",IF((BY23=BY24),"ok","&lt;&gt;"))</f>
        <v>N/A</v>
      </c>
      <c r="BZ25" s="80"/>
      <c r="CA25" s="80" t="str">
        <f>IF(OR(ISBLANK(AD8),ISBLANK(AD9),ISBLANK(AD10)),"N/A",IF((CA23=CA24),"ok","&lt;&gt;"))</f>
        <v>N/A</v>
      </c>
      <c r="CB25" s="80"/>
      <c r="CC25" s="80" t="str">
        <f>IF(OR(ISBLANK(AF8),ISBLANK(AF9),ISBLANK(AF10)),"N/A",IF((CC23=CC24),"ok","&lt;&gt;"))</f>
        <v>N/A</v>
      </c>
      <c r="CD25" s="80"/>
      <c r="CE25" s="80" t="str">
        <f>IF(OR(ISBLANK(AH8),ISBLANK(AH9),ISBLANK(AH10)),"N/A",IF((CE23=CE24),"ok","&lt;&gt;"))</f>
        <v>N/A</v>
      </c>
      <c r="CF25" s="80"/>
      <c r="CG25" s="80" t="str">
        <f>IF(OR(ISBLANK(AJ8),ISBLANK(AJ9),ISBLANK(AJ10)),"N/A",IF((CG23=CG24),"ok","&lt;&gt;"))</f>
        <v>N/A</v>
      </c>
      <c r="CH25" s="80"/>
      <c r="CI25" s="80" t="str">
        <f>IF(OR(ISBLANK(AL8),ISBLANK(AL9),ISBLANK(AL10)),"N/A",IF((CI23=CI24),"ok","&lt;&gt;"))</f>
        <v>N/A</v>
      </c>
      <c r="CJ25" s="80"/>
      <c r="CK25" s="80" t="str">
        <f>IF(OR(ISBLANK(AN8),ISBLANK(AN9),ISBLANK(AN10)),"N/A",IF((CK23=CK24),"ok","&lt;&gt;"))</f>
        <v>N/A</v>
      </c>
      <c r="CL25" s="80"/>
      <c r="CM25" s="80" t="str">
        <f>IF(OR(ISBLANK(AP8),ISBLANK(AP9),ISBLANK(AP10)),"N/A",IF((CM23=CM24),"ok","&lt;&gt;"))</f>
        <v>N/A</v>
      </c>
      <c r="CN25" s="80"/>
      <c r="CO25" s="80" t="str">
        <f>IF(OR(ISBLANK(AR8),ISBLANK(AR9),ISBLANK(AR10)),"N/A",IF((CO23=CO24),"ok","&lt;&gt;"))</f>
        <v>N/A</v>
      </c>
      <c r="CP25" s="80"/>
      <c r="CQ25" s="80" t="str">
        <f>IF(OR(ISBLANK(AT8),ISBLANK(AT9),ISBLANK(AT10)),"N/A",IF((CQ23=CQ24),"ok","&lt;&gt;"))</f>
        <v>N/A</v>
      </c>
      <c r="CR25" s="80"/>
      <c r="CS25" s="80" t="str">
        <f>IF(OR(ISBLANK(AV8),ISBLANK(AV9),ISBLANK(AV10)),"N/A",IF((CS23=CS24),"ok","&lt;&gt;"))</f>
        <v>N/A</v>
      </c>
      <c r="CT25" s="238"/>
      <c r="CU25" s="457"/>
      <c r="CV25" s="457"/>
      <c r="CW25" s="457"/>
      <c r="CX25" s="457"/>
      <c r="CY25" s="457"/>
      <c r="CZ25" s="457"/>
      <c r="DA25" s="457"/>
      <c r="DB25" s="457"/>
      <c r="DC25" s="457"/>
      <c r="DD25" s="457"/>
      <c r="DE25" s="457"/>
      <c r="DF25" s="457"/>
      <c r="DG25" s="457"/>
      <c r="DH25" s="457"/>
      <c r="DI25" s="457"/>
    </row>
    <row r="26" spans="1:113" s="432" customFormat="1" ht="29.25" customHeight="1" x14ac:dyDescent="0.2">
      <c r="A26" s="275"/>
      <c r="B26" s="275"/>
      <c r="C26" s="273" t="s">
        <v>490</v>
      </c>
      <c r="D26" s="730" t="s">
        <v>541</v>
      </c>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454"/>
      <c r="AZ26" s="299">
        <v>13</v>
      </c>
      <c r="BA26" s="281" t="s">
        <v>466</v>
      </c>
      <c r="BB26" s="80" t="s">
        <v>468</v>
      </c>
      <c r="BC26" s="80">
        <f>SUM(F12:F16)</f>
        <v>0</v>
      </c>
      <c r="BD26" s="80"/>
      <c r="BE26" s="80">
        <f>SUM(H12:H16)</f>
        <v>0</v>
      </c>
      <c r="BF26" s="80"/>
      <c r="BG26" s="80">
        <f>SUM(J12:J16)</f>
        <v>0</v>
      </c>
      <c r="BH26" s="80"/>
      <c r="BI26" s="80">
        <f>SUM(L12:L16)</f>
        <v>0</v>
      </c>
      <c r="BJ26" s="80"/>
      <c r="BK26" s="80">
        <f>SUM(N12:N16)</f>
        <v>80</v>
      </c>
      <c r="BL26" s="80"/>
      <c r="BM26" s="80">
        <f>SUM(P12:P16)</f>
        <v>74</v>
      </c>
      <c r="BN26" s="80"/>
      <c r="BO26" s="80">
        <f>SUM(R12:R16)</f>
        <v>11478</v>
      </c>
      <c r="BP26" s="80"/>
      <c r="BQ26" s="80">
        <f>SUM(T12:T16)</f>
        <v>11798</v>
      </c>
      <c r="BR26" s="80"/>
      <c r="BS26" s="80">
        <f>SUM(V12:V16)</f>
        <v>772</v>
      </c>
      <c r="BT26" s="80"/>
      <c r="BU26" s="80">
        <f>SUM(X12:X16)</f>
        <v>0</v>
      </c>
      <c r="BV26" s="80"/>
      <c r="BW26" s="80">
        <f>SUM(Z12:Z16)</f>
        <v>8585</v>
      </c>
      <c r="BX26" s="80"/>
      <c r="BY26" s="80">
        <f>SUM(AB12:AB16)</f>
        <v>7693</v>
      </c>
      <c r="BZ26" s="80"/>
      <c r="CA26" s="80">
        <f>SUM(AD12:AD16)</f>
        <v>8226</v>
      </c>
      <c r="CB26" s="80"/>
      <c r="CC26" s="80">
        <f>SUM(AF12:AF16)</f>
        <v>7931</v>
      </c>
      <c r="CD26" s="80"/>
      <c r="CE26" s="80">
        <f>SUM(AH12:AH16)</f>
        <v>7487</v>
      </c>
      <c r="CF26" s="80"/>
      <c r="CG26" s="80">
        <f>SUM(AJ12:AJ16)</f>
        <v>8070</v>
      </c>
      <c r="CH26" s="80"/>
      <c r="CI26" s="80">
        <f>SUM(AL12:AL16)</f>
        <v>8321</v>
      </c>
      <c r="CJ26" s="80"/>
      <c r="CK26" s="80">
        <f>SUM(AN12:AN16)</f>
        <v>9260</v>
      </c>
      <c r="CL26" s="80"/>
      <c r="CM26" s="80">
        <f>SUM(AP12:AP16)</f>
        <v>8328</v>
      </c>
      <c r="CN26" s="80"/>
      <c r="CO26" s="80">
        <f>SUM(AR12:AR16)</f>
        <v>8771</v>
      </c>
      <c r="CP26" s="80"/>
      <c r="CQ26" s="80">
        <f>SUM(AT12:AT16)</f>
        <v>8781</v>
      </c>
      <c r="CR26" s="80"/>
      <c r="CS26" s="80">
        <f>SUM(AV12:AV16)</f>
        <v>9406</v>
      </c>
      <c r="CT26" s="238"/>
      <c r="CU26" s="457"/>
      <c r="CV26" s="457"/>
      <c r="CW26" s="457"/>
      <c r="CX26" s="457"/>
      <c r="CY26" s="457"/>
      <c r="CZ26" s="457"/>
      <c r="DA26" s="457"/>
      <c r="DB26" s="457"/>
      <c r="DC26" s="457"/>
      <c r="DD26" s="457"/>
      <c r="DE26" s="457"/>
      <c r="DF26" s="457"/>
      <c r="DG26" s="457"/>
      <c r="DH26" s="457"/>
      <c r="DI26" s="457"/>
    </row>
    <row r="27" spans="1:113" s="432" customFormat="1" ht="24.75" customHeight="1" x14ac:dyDescent="0.2">
      <c r="A27" s="275"/>
      <c r="B27" s="275"/>
      <c r="C27" s="273" t="s">
        <v>490</v>
      </c>
      <c r="D27" s="768" t="s">
        <v>626</v>
      </c>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454"/>
      <c r="AZ27" s="284" t="s">
        <v>494</v>
      </c>
      <c r="BA27" s="281" t="s">
        <v>36</v>
      </c>
      <c r="BB27" s="80"/>
      <c r="BC27" s="80" t="str">
        <f>IF(OR(ISBLANK(F12),ISBLANK(F13),ISBLANK(F14),ISBLANK(F15),ISBLANK(F16),ISBLANK(F10)),"N/A",IF((BC23=BC26),"ok","&lt;&gt;"))</f>
        <v>N/A</v>
      </c>
      <c r="BD27" s="80"/>
      <c r="BE27" s="80" t="str">
        <f>IF(OR(ISBLANK(H12),ISBLANK(H13),ISBLANK(H14),ISBLANK(H15),ISBLANK(H16),ISBLANK(H10)),"N/A",IF((BE23=BE26),"ok","&lt;&gt;"))</f>
        <v>N/A</v>
      </c>
      <c r="BF27" s="80"/>
      <c r="BG27" s="80" t="str">
        <f>IF(OR(ISBLANK(J12),ISBLANK(J13),ISBLANK(J14),ISBLANK(J15),ISBLANK(J16),ISBLANK(J10)),"N/A",IF((BG23=BG26),"ok","&lt;&gt;"))</f>
        <v>N/A</v>
      </c>
      <c r="BH27" s="80"/>
      <c r="BI27" s="80" t="str">
        <f>IF(OR(ISBLANK(L12),ISBLANK(L13),ISBLANK(L14),ISBLANK(L15),ISBLANK(L16),ISBLANK(L10)),"N/A",IF((BI23=BI26),"ok","&lt;&gt;"))</f>
        <v>N/A</v>
      </c>
      <c r="BJ27" s="80"/>
      <c r="BK27" s="80" t="str">
        <f>IF(OR(ISBLANK(N12),ISBLANK(N13),ISBLANK(N14),ISBLANK(N15),ISBLANK(N16),ISBLANK(N10)),"N/A",IF((BK23=BK26),"ok","&lt;&gt;"))</f>
        <v>N/A</v>
      </c>
      <c r="BL27" s="80"/>
      <c r="BM27" s="80" t="str">
        <f>IF(OR(ISBLANK(P12),ISBLANK(P13),ISBLANK(P14),ISBLANK(P15),ISBLANK(P16),ISBLANK(P10)),"N/A",IF((BM23=BM26),"ok","&lt;&gt;"))</f>
        <v>N/A</v>
      </c>
      <c r="BN27" s="80"/>
      <c r="BO27" s="80" t="str">
        <f>IF(OR(ISBLANK(R12),ISBLANK(R13),ISBLANK(R14),ISBLANK(R15),ISBLANK(R16),ISBLANK(R10)),"N/A",IF((BO23=BO26),"ok","&lt;&gt;"))</f>
        <v>N/A</v>
      </c>
      <c r="BP27" s="80"/>
      <c r="BQ27" s="80" t="str">
        <f>IF(OR(ISBLANK(T12),ISBLANK(T13),ISBLANK(T14),ISBLANK(T15),ISBLANK(T16),ISBLANK(T10)),"N/A",IF((BQ23=BQ26),"ok","&lt;&gt;"))</f>
        <v>N/A</v>
      </c>
      <c r="BR27" s="80"/>
      <c r="BS27" s="80" t="str">
        <f>IF(OR(ISBLANK(V12),ISBLANK(V13),ISBLANK(V14),ISBLANK(V15),ISBLANK(V16),ISBLANK(V10)),"N/A",IF((BS23=BS26),"ok","&lt;&gt;"))</f>
        <v>N/A</v>
      </c>
      <c r="BT27" s="80"/>
      <c r="BU27" s="80" t="str">
        <f>IF(OR(ISBLANK(X12),ISBLANK(X13),ISBLANK(X14),ISBLANK(X15),ISBLANK(X16),ISBLANK(X10)),"N/A",IF((BU23=BU26),"ok","&lt;&gt;"))</f>
        <v>N/A</v>
      </c>
      <c r="BV27" s="80"/>
      <c r="BW27" s="80" t="str">
        <f>IF(OR(ISBLANK(Z12),ISBLANK(Z13),ISBLANK(Z14),ISBLANK(Z15),ISBLANK(Z16),ISBLANK(Z10)),"N/A",IF((BW23=BW26),"ok","&lt;&gt;"))</f>
        <v>N/A</v>
      </c>
      <c r="BX27" s="80"/>
      <c r="BY27" s="80" t="str">
        <f>IF(OR(ISBLANK(AB12),ISBLANK(AB13),ISBLANK(AB14),ISBLANK(AB15),ISBLANK(AB16),ISBLANK(AB10)),"N/A",IF((BY23=BY26),"ok","&lt;&gt;"))</f>
        <v>N/A</v>
      </c>
      <c r="BZ27" s="80"/>
      <c r="CA27" s="80" t="str">
        <f>IF(OR(ISBLANK(AD12),ISBLANK(AD13),ISBLANK(AD14),ISBLANK(AD15),ISBLANK(AD16),ISBLANK(AD10)),"N/A",IF((CA23=CA26),"ok","&lt;&gt;"))</f>
        <v>N/A</v>
      </c>
      <c r="CB27" s="80"/>
      <c r="CC27" s="80" t="str">
        <f>IF(OR(ISBLANK(AF12),ISBLANK(AF13),ISBLANK(AF14),ISBLANK(AF15),ISBLANK(AF16),ISBLANK(AF10)),"N/A",IF((CC23=CC26),"ok","&lt;&gt;"))</f>
        <v>N/A</v>
      </c>
      <c r="CD27" s="80"/>
      <c r="CE27" s="80" t="str">
        <f>IF(OR(ISBLANK(AH12),ISBLANK(AH13),ISBLANK(AH14),ISBLANK(AH15),ISBLANK(AH16),ISBLANK(AH10)),"N/A",IF((CE23=CE26),"ok","&lt;&gt;"))</f>
        <v>N/A</v>
      </c>
      <c r="CF27" s="80"/>
      <c r="CG27" s="80" t="str">
        <f>IF(OR(ISBLANK(AJ12),ISBLANK(AJ13),ISBLANK(AJ14),ISBLANK(AJ15),ISBLANK(AJ16),ISBLANK(AJ10)),"N/A",IF((CG23=CG26),"ok","&lt;&gt;"))</f>
        <v>N/A</v>
      </c>
      <c r="CH27" s="80"/>
      <c r="CI27" s="80" t="str">
        <f>IF(OR(ISBLANK(AL12),ISBLANK(AL13),ISBLANK(AL14),ISBLANK(AL15),ISBLANK(AL16),ISBLANK(AL10)),"N/A",IF((CI23=CI26),"ok","&lt;&gt;"))</f>
        <v>N/A</v>
      </c>
      <c r="CJ27" s="80"/>
      <c r="CK27" s="80" t="str">
        <f>IF(OR(ISBLANK(AN12),ISBLANK(AN13),ISBLANK(AN14),ISBLANK(AN15),ISBLANK(AN16),ISBLANK(AN10)),"N/A",IF((CK23=CK26),"ok","&lt;&gt;"))</f>
        <v>N/A</v>
      </c>
      <c r="CL27" s="80"/>
      <c r="CM27" s="80" t="str">
        <f>IF(OR(ISBLANK(AP12),ISBLANK(AP13),ISBLANK(AP14),ISBLANK(AP15),ISBLANK(AP16),ISBLANK(AP10)),"N/A",IF((CM23=CM26),"ok","&lt;&gt;"))</f>
        <v>N/A</v>
      </c>
      <c r="CN27" s="80"/>
      <c r="CO27" s="80" t="str">
        <f>IF(OR(ISBLANK(AR12),ISBLANK(AR13),ISBLANK(AR14),ISBLANK(AR15),ISBLANK(AR16),ISBLANK(AR10)),"N/A",IF((CO23=CO26),"ok","&lt;&gt;"))</f>
        <v>N/A</v>
      </c>
      <c r="CP27" s="80"/>
      <c r="CQ27" s="80" t="str">
        <f>IF(OR(ISBLANK(AT12),ISBLANK(AT13),ISBLANK(AT14),ISBLANK(AT15),ISBLANK(AT16),ISBLANK(AT10)),"N/A",IF((CQ23=CQ26),"ok","&lt;&gt;"))</f>
        <v>N/A</v>
      </c>
      <c r="CR27" s="80"/>
      <c r="CS27" s="80" t="str">
        <f>IF(OR(ISBLANK(AV12),ISBLANK(AV13),ISBLANK(AV14),ISBLANK(AV15),ISBLANK(AV16),ISBLANK(AV10)),"N/A",IF((CS23=CS26),"ok","&lt;&gt;"))</f>
        <v>N/A</v>
      </c>
      <c r="CT27" s="238"/>
      <c r="CU27" s="457"/>
      <c r="CV27" s="457"/>
      <c r="CW27" s="457"/>
      <c r="CX27" s="457"/>
      <c r="CY27" s="457"/>
      <c r="CZ27" s="457"/>
      <c r="DA27" s="457"/>
      <c r="DB27" s="457"/>
      <c r="DC27" s="457"/>
      <c r="DD27" s="457"/>
      <c r="DE27" s="457"/>
      <c r="DF27" s="457"/>
      <c r="DG27" s="457"/>
      <c r="DH27" s="457"/>
      <c r="DI27" s="457"/>
    </row>
    <row r="28" spans="1:113" ht="32.25" customHeight="1" x14ac:dyDescent="0.2">
      <c r="A28" s="275"/>
      <c r="B28" s="275"/>
      <c r="C28" s="273"/>
      <c r="D28" s="838" t="s">
        <v>637</v>
      </c>
      <c r="E28" s="838"/>
      <c r="F28" s="838"/>
      <c r="G28" s="838"/>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811" t="str">
        <f>D11</f>
        <v>Volume d’eau douce fourni aux destinataires ou aux fins des activités suivantes :</v>
      </c>
      <c r="AI28" s="811"/>
      <c r="AJ28" s="811"/>
      <c r="AK28" s="289"/>
      <c r="AL28" s="286"/>
      <c r="AM28" s="812" t="str">
        <f>D12&amp;" (W3,4)"</f>
        <v>Ménages (W3,4)</v>
      </c>
      <c r="AN28" s="813"/>
      <c r="AO28" s="813"/>
      <c r="AP28" s="813"/>
      <c r="AQ28" s="813"/>
      <c r="AR28" s="813"/>
      <c r="AS28" s="813"/>
      <c r="AT28" s="813"/>
      <c r="AU28" s="813"/>
      <c r="AV28" s="813"/>
      <c r="AW28" s="814"/>
      <c r="AX28" s="285"/>
      <c r="AY28" s="460"/>
      <c r="AZ28" s="308" t="s">
        <v>494</v>
      </c>
      <c r="BA28" s="461" t="s">
        <v>37</v>
      </c>
      <c r="BB28" s="96"/>
      <c r="BC28" s="96" t="str">
        <f>IF(OR(ISBLANK(F18),ISBLANK(F19),ISBLANK(F20)),"N/A",IF(F18&lt;F20,"&lt;&gt;",IF(F18&gt;F19,"&lt;&gt;","ok")))</f>
        <v>N/A</v>
      </c>
      <c r="BD28" s="93"/>
      <c r="BE28" s="96" t="str">
        <f>IF(OR(ISBLANK(H18),ISBLANK(H19),ISBLANK(H20)),"N/A",IF(H18&lt;H20,"&lt;&gt;",IF(H18&gt;H19,"&lt;&gt;","ok")))</f>
        <v>N/A</v>
      </c>
      <c r="BF28" s="93"/>
      <c r="BG28" s="96" t="str">
        <f>IF(OR(ISBLANK(J18),ISBLANK(J19),ISBLANK(J20)),"N/A",IF(J18&lt;J20,"&lt;&gt;",IF(J18&gt;J19,"&lt;&gt;","ok")))</f>
        <v>N/A</v>
      </c>
      <c r="BH28" s="93"/>
      <c r="BI28" s="96" t="str">
        <f>IF(OR(ISBLANK(L18),ISBLANK(L19),ISBLANK(L20)),"N/A",IF(L18&lt;L20,"&lt;&gt;",IF(L18&gt;L19,"&lt;&gt;","ok")))</f>
        <v>N/A</v>
      </c>
      <c r="BJ28" s="93"/>
      <c r="BK28" s="96" t="str">
        <f>IF(OR(ISBLANK(N18),ISBLANK(N19),ISBLANK(N20)),"N/A",IF(N18&lt;N20,"&lt;&gt;",IF(N18&gt;N19,"&lt;&gt;","ok")))</f>
        <v>N/A</v>
      </c>
      <c r="BL28" s="93"/>
      <c r="BM28" s="96" t="str">
        <f>IF(OR(ISBLANK(P18),ISBLANK(P19),ISBLANK(P20)),"N/A",IF(P18&lt;P20,"&lt;&gt;",IF(P18&gt;P19,"&lt;&gt;","ok")))</f>
        <v>N/A</v>
      </c>
      <c r="BN28" s="93"/>
      <c r="BO28" s="96" t="str">
        <f>IF(OR(ISBLANK(R18),ISBLANK(R19),ISBLANK(R20)),"N/A",IF(R18&lt;R20,"&lt;&gt;",IF(R18&gt;R19,"&lt;&gt;","ok")))</f>
        <v>N/A</v>
      </c>
      <c r="BP28" s="93"/>
      <c r="BQ28" s="96" t="str">
        <f>IF(OR(ISBLANK(T18),ISBLANK(T19),ISBLANK(T20)),"N/A",IF(T18&lt;T20,"&lt;&gt;",IF(T18&gt;T19,"&lt;&gt;","ok")))</f>
        <v>N/A</v>
      </c>
      <c r="BR28" s="93"/>
      <c r="BS28" s="96" t="str">
        <f>IF(OR(ISBLANK(V18),ISBLANK(V19),ISBLANK(V20)),"N/A",IF(V18&lt;V20,"&lt;&gt;",IF(V18&gt;V19,"&lt;&gt;","ok")))</f>
        <v>N/A</v>
      </c>
      <c r="BT28" s="93"/>
      <c r="BU28" s="96" t="str">
        <f>IF(OR(ISBLANK(X18),ISBLANK(X19),ISBLANK(X20)),"N/A",IF(X18&lt;X20,"&lt;&gt;",IF(X18&gt;X19,"&lt;&gt;","ok")))</f>
        <v>N/A</v>
      </c>
      <c r="BV28" s="93"/>
      <c r="BW28" s="96" t="str">
        <f>IF(OR(ISBLANK(Z18),ISBLANK(Z19),ISBLANK(Z20)),"N/A",IF(Z18&lt;Z20,"&lt;&gt;",IF(Z18&gt;Z19,"&lt;&gt;","ok")))</f>
        <v>ok</v>
      </c>
      <c r="BX28" s="93"/>
      <c r="BY28" s="96" t="str">
        <f>IF(OR(ISBLANK(AB18),ISBLANK(AB19),ISBLANK(AB20)),"N/A",IF(AB18&lt;AB20,"&lt;&gt;",IF(AB18&gt;AB19,"&lt;&gt;","ok")))</f>
        <v>ok</v>
      </c>
      <c r="BZ28" s="93"/>
      <c r="CA28" s="96" t="str">
        <f>IF(OR(ISBLANK(AD18),ISBLANK(AD19),ISBLANK(AD20)),"N/A",IF(AD18&lt;AD20,"&lt;&gt;",IF(AD18&gt;AD19,"&lt;&gt;","ok")))</f>
        <v>ok</v>
      </c>
      <c r="CB28" s="93"/>
      <c r="CC28" s="96" t="str">
        <f>IF(OR(ISBLANK(AF18),ISBLANK(AF19),ISBLANK(AF20)),"N/A",IF(AF18&lt;AF20,"&lt;&gt;",IF(AF18&gt;AF19,"&lt;&gt;","ok")))</f>
        <v>ok</v>
      </c>
      <c r="CD28" s="93"/>
      <c r="CE28" s="96" t="str">
        <f>IF(OR(ISBLANK(AH18),ISBLANK(AH19),ISBLANK(AH20)),"N/A",IF(AH18&lt;AH20,"&lt;&gt;",IF(AH18&gt;AH19,"&lt;&gt;","ok")))</f>
        <v>ok</v>
      </c>
      <c r="CF28" s="93"/>
      <c r="CG28" s="96" t="str">
        <f>IF(OR(ISBLANK(AJ18),ISBLANK(AJ19),ISBLANK(AJ20)),"N/A",IF(AJ18&lt;AJ20,"&lt;&gt;",IF(AJ18&gt;AJ19,"&lt;&gt;","ok")))</f>
        <v>ok</v>
      </c>
      <c r="CH28" s="93"/>
      <c r="CI28" s="96" t="str">
        <f>IF(OR(ISBLANK(AL18),ISBLANK(AL19),ISBLANK(AL20)),"N/A",IF(AL18&lt;AL20,"&lt;&gt;",IF(AL18&gt;AL19,"&lt;&gt;","ok")))</f>
        <v>ok</v>
      </c>
      <c r="CJ28" s="93"/>
      <c r="CK28" s="96" t="str">
        <f>IF(OR(ISBLANK(AN18),ISBLANK(AN19),ISBLANK(AN20)),"N/A",IF(AN18&lt;AN20,"&lt;&gt;",IF(AN18&gt;AN19,"&lt;&gt;","ok")))</f>
        <v>ok</v>
      </c>
      <c r="CL28" s="93"/>
      <c r="CM28" s="96" t="str">
        <f>IF(OR(ISBLANK(AP18),ISBLANK(AP19),ISBLANK(AP20)),"N/A",IF(AP18&lt;AP20,"&lt;&gt;",IF(AP18&gt;AP19,"&lt;&gt;","ok")))</f>
        <v>ok</v>
      </c>
      <c r="CN28" s="93"/>
      <c r="CO28" s="96" t="str">
        <f>IF(OR(ISBLANK(AR18),ISBLANK(AR19),ISBLANK(AR20)),"N/A",IF(AR18&lt;AR20,"&lt;&gt;",IF(AR18&gt;AR19,"&lt;&gt;","ok")))</f>
        <v>ok</v>
      </c>
      <c r="CP28" s="93"/>
      <c r="CQ28" s="96" t="str">
        <f>IF(OR(ISBLANK(AT18),ISBLANK(AT19),ISBLANK(AT20)),"N/A",IF(AT18&lt;AT20,"&lt;&gt;",IF(AT18&gt;AT19,"&lt;&gt;","ok")))</f>
        <v>ok</v>
      </c>
      <c r="CR28" s="93"/>
      <c r="CS28" s="96" t="str">
        <f>IF(OR(ISBLANK(AV18),ISBLANK(AV19),ISBLANK(AV20)),"N/A",IF(AV18&lt;AV20,"&lt;&gt;",IF(AV18&gt;AV19,"&lt;&gt;","ok")))</f>
        <v>N/A</v>
      </c>
      <c r="CT28" s="260"/>
      <c r="CU28" s="276"/>
      <c r="CV28" s="276"/>
      <c r="CW28" s="276"/>
      <c r="CX28" s="276"/>
      <c r="CY28" s="276"/>
      <c r="CZ28" s="276"/>
      <c r="DA28" s="276"/>
      <c r="DB28" s="276"/>
      <c r="DC28" s="276"/>
      <c r="DD28" s="276"/>
      <c r="DE28" s="276"/>
      <c r="DF28" s="276"/>
      <c r="DG28" s="276"/>
      <c r="DH28" s="276"/>
      <c r="DI28" s="276"/>
    </row>
    <row r="29" spans="1:113" ht="3" customHeight="1" x14ac:dyDescent="0.2">
      <c r="A29" s="275"/>
      <c r="B29" s="275"/>
      <c r="C29" s="273"/>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811"/>
      <c r="AI29" s="811"/>
      <c r="AJ29" s="811"/>
      <c r="AK29" s="289"/>
      <c r="AL29" s="462"/>
      <c r="AM29" s="462"/>
      <c r="AN29" s="462"/>
      <c r="AO29" s="462"/>
      <c r="AP29" s="462"/>
      <c r="AQ29" s="462"/>
      <c r="AR29" s="462"/>
      <c r="AS29" s="462"/>
      <c r="AT29" s="462"/>
      <c r="AU29" s="462"/>
      <c r="AV29" s="285"/>
      <c r="AW29" s="463"/>
      <c r="AX29" s="285"/>
      <c r="AY29" s="460"/>
      <c r="AZ29" s="80"/>
      <c r="BA29" s="464"/>
      <c r="BB29" s="80"/>
      <c r="BC29" s="80"/>
      <c r="BD29" s="238"/>
      <c r="BE29" s="81"/>
      <c r="BF29" s="238"/>
      <c r="BG29" s="238"/>
      <c r="BH29" s="238"/>
      <c r="BI29" s="238"/>
      <c r="BJ29" s="238"/>
      <c r="BK29" s="238"/>
      <c r="BL29" s="238"/>
      <c r="BM29" s="81"/>
      <c r="BN29" s="238"/>
      <c r="BO29" s="81"/>
      <c r="BP29" s="238"/>
      <c r="BQ29" s="81"/>
      <c r="BR29" s="238"/>
      <c r="BS29" s="80"/>
      <c r="BT29" s="238"/>
      <c r="BU29" s="80"/>
      <c r="BV29" s="238"/>
      <c r="BW29" s="80"/>
      <c r="BX29" s="238"/>
      <c r="BY29" s="80"/>
      <c r="BZ29" s="238"/>
      <c r="CA29" s="80"/>
      <c r="CB29" s="238"/>
      <c r="CC29" s="80"/>
      <c r="CD29" s="238"/>
      <c r="CE29" s="80"/>
      <c r="CF29" s="238"/>
      <c r="CG29" s="80"/>
      <c r="CH29" s="238"/>
      <c r="CI29" s="80"/>
      <c r="CJ29" s="238"/>
      <c r="CK29" s="80"/>
      <c r="CL29" s="238"/>
      <c r="CM29" s="80"/>
      <c r="CN29" s="238"/>
      <c r="CO29" s="80"/>
      <c r="CP29" s="238"/>
      <c r="CQ29" s="80"/>
      <c r="CR29" s="238"/>
      <c r="CS29" s="80"/>
      <c r="CT29" s="250"/>
      <c r="CU29" s="276"/>
      <c r="CV29" s="276"/>
      <c r="CW29" s="276"/>
      <c r="CX29" s="276"/>
      <c r="CY29" s="276"/>
      <c r="CZ29" s="276"/>
      <c r="DA29" s="276"/>
      <c r="DB29" s="276"/>
      <c r="DC29" s="276"/>
      <c r="DD29" s="276"/>
      <c r="DE29" s="276"/>
      <c r="DF29" s="276"/>
      <c r="DG29" s="276"/>
      <c r="DH29" s="276"/>
      <c r="DI29" s="276"/>
    </row>
    <row r="30" spans="1:113" ht="32.25" customHeight="1" x14ac:dyDescent="0.2">
      <c r="A30" s="275"/>
      <c r="B30" s="275"/>
      <c r="C30" s="273"/>
      <c r="D30" s="291"/>
      <c r="E30" s="829" t="str">
        <f>D8&amp;" (W3, 1)"</f>
        <v>Quantité brute d’eau douce fournie par les services d’alimentation en eau (CITI 36) (W3, 1)</v>
      </c>
      <c r="F30" s="830"/>
      <c r="G30" s="830"/>
      <c r="H30" s="830"/>
      <c r="I30" s="830"/>
      <c r="J30" s="830"/>
      <c r="K30" s="830"/>
      <c r="L30" s="830"/>
      <c r="M30" s="830"/>
      <c r="N30" s="830"/>
      <c r="O30" s="830"/>
      <c r="P30" s="830"/>
      <c r="Q30" s="830"/>
      <c r="R30" s="830"/>
      <c r="S30" s="830"/>
      <c r="T30" s="830"/>
      <c r="U30" s="830"/>
      <c r="V30" s="830"/>
      <c r="W30" s="830"/>
      <c r="X30" s="830"/>
      <c r="Y30" s="830"/>
      <c r="Z30" s="831"/>
      <c r="AA30" s="288"/>
      <c r="AB30" s="287"/>
      <c r="AC30" s="287"/>
      <c r="AD30" s="820" t="str">
        <f>LEFT(D10,LEN(D10)-21)&amp;" (W3,3)"</f>
        <v>Quantité nette d’eau douce fournie par les services d’alimentation en eau (CITI 36 (W3,3)</v>
      </c>
      <c r="AE30" s="821"/>
      <c r="AF30" s="822"/>
      <c r="AG30" s="458"/>
      <c r="AH30" s="811"/>
      <c r="AI30" s="811"/>
      <c r="AJ30" s="811"/>
      <c r="AK30" s="289"/>
      <c r="AL30" s="286"/>
      <c r="AM30" s="812" t="str">
        <f>D13&amp;" (W3,5)"</f>
        <v>Agriculture, sylviculture et pêche (division 1 
à 3 de la CITI) (W3,5)</v>
      </c>
      <c r="AN30" s="813"/>
      <c r="AO30" s="813"/>
      <c r="AP30" s="813"/>
      <c r="AQ30" s="813"/>
      <c r="AR30" s="813"/>
      <c r="AS30" s="813"/>
      <c r="AT30" s="813"/>
      <c r="AU30" s="813"/>
      <c r="AV30" s="813"/>
      <c r="AW30" s="814"/>
      <c r="AX30" s="285"/>
      <c r="AY30" s="460"/>
      <c r="AZ30" s="310" t="s">
        <v>450</v>
      </c>
      <c r="BA30" s="311" t="s">
        <v>451</v>
      </c>
      <c r="CT30" s="402"/>
      <c r="CU30" s="276"/>
      <c r="CV30" s="276"/>
      <c r="CW30" s="276"/>
      <c r="CX30" s="276"/>
      <c r="CY30" s="276"/>
      <c r="CZ30" s="276"/>
      <c r="DA30" s="276"/>
      <c r="DB30" s="276"/>
      <c r="DC30" s="276"/>
      <c r="DD30" s="276"/>
      <c r="DE30" s="276"/>
      <c r="DF30" s="276"/>
      <c r="DG30" s="276"/>
      <c r="DH30" s="276"/>
      <c r="DI30" s="276"/>
    </row>
    <row r="31" spans="1:113" ht="2.25" customHeight="1" x14ac:dyDescent="0.2">
      <c r="A31" s="275"/>
      <c r="B31" s="275"/>
      <c r="C31" s="273"/>
      <c r="D31" s="291"/>
      <c r="E31" s="832"/>
      <c r="F31" s="833"/>
      <c r="G31" s="833"/>
      <c r="H31" s="833"/>
      <c r="I31" s="833"/>
      <c r="J31" s="833"/>
      <c r="K31" s="833"/>
      <c r="L31" s="833"/>
      <c r="M31" s="833"/>
      <c r="N31" s="833"/>
      <c r="O31" s="833"/>
      <c r="P31" s="833"/>
      <c r="Q31" s="833"/>
      <c r="R31" s="833"/>
      <c r="S31" s="833"/>
      <c r="T31" s="833"/>
      <c r="U31" s="833"/>
      <c r="V31" s="833"/>
      <c r="W31" s="833"/>
      <c r="X31" s="833"/>
      <c r="Y31" s="833"/>
      <c r="Z31" s="834"/>
      <c r="AA31" s="288"/>
      <c r="AB31" s="287"/>
      <c r="AC31" s="287"/>
      <c r="AD31" s="823"/>
      <c r="AE31" s="824"/>
      <c r="AF31" s="825"/>
      <c r="AG31" s="458"/>
      <c r="AH31" s="811"/>
      <c r="AI31" s="811"/>
      <c r="AJ31" s="811"/>
      <c r="AK31" s="289"/>
      <c r="AL31" s="462"/>
      <c r="AM31" s="462"/>
      <c r="AN31" s="462"/>
      <c r="AO31" s="462"/>
      <c r="AP31" s="462"/>
      <c r="AQ31" s="462"/>
      <c r="AR31" s="462"/>
      <c r="AS31" s="462"/>
      <c r="AT31" s="462"/>
      <c r="AU31" s="462"/>
      <c r="AV31" s="285"/>
      <c r="AW31" s="463"/>
      <c r="AX31" s="285"/>
      <c r="AY31" s="460"/>
      <c r="BB31" s="94"/>
      <c r="BC31" s="94"/>
      <c r="BD31" s="402"/>
      <c r="BE31" s="111"/>
      <c r="BF31" s="402"/>
      <c r="BG31" s="402"/>
      <c r="BH31" s="402"/>
      <c r="BI31" s="402"/>
      <c r="BJ31" s="402"/>
      <c r="BK31" s="402"/>
      <c r="BL31" s="402"/>
      <c r="BM31" s="111"/>
      <c r="BN31" s="402"/>
      <c r="BO31" s="111"/>
      <c r="BP31" s="402"/>
      <c r="BQ31" s="111"/>
      <c r="BR31" s="402"/>
      <c r="BS31" s="94"/>
      <c r="BT31" s="402"/>
      <c r="BU31" s="94"/>
      <c r="BV31" s="402"/>
      <c r="BW31" s="94"/>
      <c r="BX31" s="402"/>
      <c r="BY31" s="94"/>
      <c r="BZ31" s="402"/>
      <c r="CA31" s="94"/>
      <c r="CB31" s="402"/>
      <c r="CC31" s="94"/>
      <c r="CD31" s="402"/>
      <c r="CE31" s="94"/>
      <c r="CF31" s="402"/>
      <c r="CG31" s="94"/>
      <c r="CH31" s="402"/>
      <c r="CI31" s="94"/>
      <c r="CJ31" s="402"/>
      <c r="CK31" s="94"/>
      <c r="CL31" s="402"/>
      <c r="CM31" s="94"/>
      <c r="CN31" s="402"/>
      <c r="CO31" s="94"/>
      <c r="CP31" s="402"/>
      <c r="CQ31" s="94"/>
      <c r="CR31" s="402"/>
      <c r="CS31" s="94"/>
      <c r="CT31" s="402"/>
      <c r="CU31" s="276"/>
      <c r="CV31" s="276"/>
      <c r="CW31" s="276"/>
      <c r="CX31" s="276"/>
      <c r="CY31" s="276"/>
      <c r="CZ31" s="276"/>
      <c r="DA31" s="276"/>
      <c r="DB31" s="276"/>
      <c r="DC31" s="276"/>
      <c r="DD31" s="276"/>
      <c r="DE31" s="276"/>
      <c r="DF31" s="276"/>
      <c r="DG31" s="276"/>
      <c r="DH31" s="276"/>
      <c r="DI31" s="276"/>
    </row>
    <row r="32" spans="1:113" ht="33" customHeight="1" x14ac:dyDescent="0.2">
      <c r="A32" s="275"/>
      <c r="B32" s="275"/>
      <c r="C32" s="273"/>
      <c r="D32" s="289"/>
      <c r="E32" s="835"/>
      <c r="F32" s="836"/>
      <c r="G32" s="836"/>
      <c r="H32" s="836"/>
      <c r="I32" s="836"/>
      <c r="J32" s="836"/>
      <c r="K32" s="836"/>
      <c r="L32" s="836"/>
      <c r="M32" s="836"/>
      <c r="N32" s="836"/>
      <c r="O32" s="836"/>
      <c r="P32" s="836"/>
      <c r="Q32" s="836"/>
      <c r="R32" s="836"/>
      <c r="S32" s="836"/>
      <c r="T32" s="836"/>
      <c r="U32" s="836"/>
      <c r="V32" s="836"/>
      <c r="W32" s="836"/>
      <c r="X32" s="836"/>
      <c r="Y32" s="836"/>
      <c r="Z32" s="837"/>
      <c r="AA32" s="288"/>
      <c r="AB32" s="287"/>
      <c r="AC32" s="287"/>
      <c r="AD32" s="826"/>
      <c r="AE32" s="827"/>
      <c r="AF32" s="828"/>
      <c r="AG32" s="285"/>
      <c r="AH32" s="811"/>
      <c r="AI32" s="811"/>
      <c r="AJ32" s="811"/>
      <c r="AK32" s="289"/>
      <c r="AL32" s="286"/>
      <c r="AM32" s="812" t="str">
        <f>D14&amp;" (W3,6)"</f>
        <v>Activités de fabrication (divisions 10 à 33 de la CITI) (W3,6)</v>
      </c>
      <c r="AN32" s="813"/>
      <c r="AO32" s="813"/>
      <c r="AP32" s="813"/>
      <c r="AQ32" s="813"/>
      <c r="AR32" s="813"/>
      <c r="AS32" s="813"/>
      <c r="AT32" s="813"/>
      <c r="AU32" s="813"/>
      <c r="AV32" s="813"/>
      <c r="AW32" s="814"/>
      <c r="AX32" s="285"/>
      <c r="AY32" s="460"/>
      <c r="AZ32" s="310" t="s">
        <v>452</v>
      </c>
      <c r="BA32" s="311" t="s">
        <v>453</v>
      </c>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5"/>
      <c r="CN32" s="425"/>
      <c r="CO32" s="425"/>
      <c r="CP32" s="425"/>
      <c r="CQ32" s="425"/>
      <c r="CR32" s="425"/>
      <c r="CS32" s="425"/>
      <c r="CT32" s="402"/>
      <c r="CU32" s="276"/>
      <c r="CV32" s="276"/>
      <c r="CW32" s="276"/>
      <c r="CX32" s="276"/>
      <c r="CY32" s="276"/>
      <c r="CZ32" s="276"/>
      <c r="DA32" s="276"/>
      <c r="DB32" s="276"/>
      <c r="DC32" s="276"/>
      <c r="DD32" s="276"/>
      <c r="DE32" s="276"/>
      <c r="DF32" s="276"/>
      <c r="DG32" s="276"/>
      <c r="DH32" s="276"/>
      <c r="DI32" s="276"/>
    </row>
    <row r="33" spans="1:113" ht="2.25" customHeight="1" x14ac:dyDescent="0.2">
      <c r="A33" s="275"/>
      <c r="B33" s="275"/>
      <c r="C33" s="273"/>
      <c r="D33" s="285"/>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5"/>
      <c r="AH33" s="811"/>
      <c r="AI33" s="811"/>
      <c r="AJ33" s="811"/>
      <c r="AK33" s="289"/>
      <c r="AL33" s="462"/>
      <c r="AM33" s="462"/>
      <c r="AN33" s="462"/>
      <c r="AO33" s="462"/>
      <c r="AP33" s="462"/>
      <c r="AQ33" s="462"/>
      <c r="AR33" s="462"/>
      <c r="AS33" s="462"/>
      <c r="AT33" s="462"/>
      <c r="AU33" s="462"/>
      <c r="AV33" s="285"/>
      <c r="AW33" s="463"/>
      <c r="AX33" s="285"/>
      <c r="AY33" s="460"/>
      <c r="BB33" s="94"/>
      <c r="BC33" s="94"/>
      <c r="BD33" s="402"/>
      <c r="BE33" s="111"/>
      <c r="BF33" s="402"/>
      <c r="BG33" s="402"/>
      <c r="BH33" s="402"/>
      <c r="BI33" s="402"/>
      <c r="BJ33" s="402"/>
      <c r="BK33" s="402"/>
      <c r="BL33" s="402"/>
      <c r="BM33" s="111"/>
      <c r="BN33" s="402"/>
      <c r="BO33" s="111"/>
      <c r="BP33" s="402"/>
      <c r="BQ33" s="111"/>
      <c r="BR33" s="402"/>
      <c r="BS33" s="94"/>
      <c r="BT33" s="402"/>
      <c r="BU33" s="94"/>
      <c r="BV33" s="402"/>
      <c r="BW33" s="94"/>
      <c r="BX33" s="402"/>
      <c r="BY33" s="94"/>
      <c r="BZ33" s="402"/>
      <c r="CA33" s="94"/>
      <c r="CB33" s="402"/>
      <c r="CC33" s="94"/>
      <c r="CD33" s="402"/>
      <c r="CE33" s="94"/>
      <c r="CF33" s="402"/>
      <c r="CG33" s="94"/>
      <c r="CH33" s="402"/>
      <c r="CI33" s="94"/>
      <c r="CJ33" s="402"/>
      <c r="CK33" s="94"/>
      <c r="CL33" s="402"/>
      <c r="CM33" s="94"/>
      <c r="CN33" s="402"/>
      <c r="CO33" s="94"/>
      <c r="CP33" s="402"/>
      <c r="CQ33" s="94"/>
      <c r="CR33" s="402"/>
      <c r="CS33" s="94"/>
      <c r="CT33" s="402"/>
      <c r="CU33" s="276"/>
      <c r="CV33" s="276"/>
      <c r="CW33" s="276"/>
      <c r="CX33" s="276"/>
      <c r="CY33" s="276"/>
      <c r="CZ33" s="276"/>
      <c r="DA33" s="276"/>
      <c r="DB33" s="276"/>
      <c r="DC33" s="276"/>
      <c r="DD33" s="276"/>
      <c r="DE33" s="276"/>
      <c r="DF33" s="276"/>
      <c r="DG33" s="276"/>
      <c r="DH33" s="276"/>
      <c r="DI33" s="276"/>
    </row>
    <row r="34" spans="1:113" ht="33.75" customHeight="1" x14ac:dyDescent="0.2">
      <c r="A34" s="275"/>
      <c r="B34" s="275"/>
      <c r="C34" s="273"/>
      <c r="D34" s="285"/>
      <c r="E34" s="288"/>
      <c r="F34" s="288"/>
      <c r="G34" s="288"/>
      <c r="H34" s="288"/>
      <c r="I34" s="288"/>
      <c r="J34" s="288"/>
      <c r="K34" s="288"/>
      <c r="L34" s="288"/>
      <c r="M34" s="288"/>
      <c r="N34" s="288"/>
      <c r="O34" s="288"/>
      <c r="P34" s="288"/>
      <c r="Q34" s="288"/>
      <c r="R34" s="288"/>
      <c r="S34" s="288"/>
      <c r="T34" s="288"/>
      <c r="U34" s="288"/>
      <c r="V34" s="288"/>
      <c r="W34" s="288"/>
      <c r="X34" s="465"/>
      <c r="Y34" s="295"/>
      <c r="Z34" s="295"/>
      <c r="AA34" s="288"/>
      <c r="AB34" s="288"/>
      <c r="AC34" s="288"/>
      <c r="AD34" s="288"/>
      <c r="AE34" s="288"/>
      <c r="AF34" s="288"/>
      <c r="AG34" s="285"/>
      <c r="AH34" s="811"/>
      <c r="AI34" s="811"/>
      <c r="AJ34" s="811"/>
      <c r="AK34" s="289"/>
      <c r="AL34" s="286"/>
      <c r="AM34" s="812" t="str">
        <f>D15&amp;" (W3,7)"</f>
        <v>Industrie électrique (division 351 de la CITI) (W3,7)</v>
      </c>
      <c r="AN34" s="813"/>
      <c r="AO34" s="813"/>
      <c r="AP34" s="813"/>
      <c r="AQ34" s="813"/>
      <c r="AR34" s="813"/>
      <c r="AS34" s="813"/>
      <c r="AT34" s="813"/>
      <c r="AU34" s="813"/>
      <c r="AV34" s="813"/>
      <c r="AW34" s="814"/>
      <c r="AX34" s="285"/>
      <c r="AY34" s="460"/>
      <c r="AZ34" s="312" t="s">
        <v>455</v>
      </c>
      <c r="BA34" s="311" t="s">
        <v>457</v>
      </c>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425"/>
      <c r="CR34" s="425"/>
      <c r="CS34" s="425"/>
      <c r="CT34" s="94"/>
      <c r="CU34" s="276"/>
      <c r="CV34" s="276"/>
      <c r="CW34" s="276"/>
      <c r="CX34" s="276"/>
      <c r="CY34" s="276"/>
      <c r="CZ34" s="276"/>
      <c r="DA34" s="276"/>
      <c r="DB34" s="276"/>
      <c r="DC34" s="276"/>
      <c r="DD34" s="276"/>
      <c r="DE34" s="276"/>
      <c r="DF34" s="276"/>
      <c r="DG34" s="276"/>
      <c r="DH34" s="276"/>
      <c r="DI34" s="276"/>
    </row>
    <row r="35" spans="1:113" ht="2.25" customHeight="1" x14ac:dyDescent="0.2">
      <c r="A35" s="275"/>
      <c r="B35" s="275"/>
      <c r="C35" s="273"/>
      <c r="D35" s="285"/>
      <c r="E35" s="288"/>
      <c r="F35" s="288"/>
      <c r="G35" s="288"/>
      <c r="H35" s="288"/>
      <c r="I35" s="288"/>
      <c r="J35" s="288"/>
      <c r="K35" s="288"/>
      <c r="L35" s="288"/>
      <c r="M35" s="288"/>
      <c r="N35" s="288"/>
      <c r="O35" s="288"/>
      <c r="P35" s="288"/>
      <c r="Q35" s="288"/>
      <c r="R35" s="288"/>
      <c r="S35" s="288"/>
      <c r="T35" s="288"/>
      <c r="U35" s="288"/>
      <c r="V35" s="288"/>
      <c r="W35" s="288"/>
      <c r="X35" s="459"/>
      <c r="Y35" s="573"/>
      <c r="Z35" s="829" t="str">
        <f>D9&amp;" (W3, 2)"</f>
        <v>Pertes au cours du transport par CITI 36 (W3, 2)</v>
      </c>
      <c r="AA35" s="830"/>
      <c r="AB35" s="830"/>
      <c r="AC35" s="830"/>
      <c r="AD35" s="831"/>
      <c r="AE35" s="288"/>
      <c r="AF35" s="288"/>
      <c r="AG35" s="285"/>
      <c r="AH35" s="285"/>
      <c r="AI35" s="285"/>
      <c r="AJ35" s="285"/>
      <c r="AK35" s="289"/>
      <c r="AL35" s="462"/>
      <c r="AM35" s="462"/>
      <c r="AN35" s="462"/>
      <c r="AO35" s="462"/>
      <c r="AP35" s="462"/>
      <c r="AQ35" s="462"/>
      <c r="AR35" s="462"/>
      <c r="AS35" s="462"/>
      <c r="AT35" s="462"/>
      <c r="AU35" s="462"/>
      <c r="AV35" s="285"/>
      <c r="AW35" s="463"/>
      <c r="AX35" s="285"/>
      <c r="AY35" s="460"/>
      <c r="AZ35" s="94"/>
      <c r="BA35" s="466"/>
      <c r="BB35" s="94"/>
      <c r="BC35" s="94"/>
      <c r="BD35" s="402"/>
      <c r="BE35" s="111"/>
      <c r="BF35" s="402"/>
      <c r="BG35" s="402"/>
      <c r="BH35" s="402"/>
      <c r="BI35" s="402"/>
      <c r="BJ35" s="402"/>
      <c r="BK35" s="402"/>
      <c r="BL35" s="402"/>
      <c r="BM35" s="111"/>
      <c r="BN35" s="402"/>
      <c r="BO35" s="111"/>
      <c r="BP35" s="402"/>
      <c r="BQ35" s="111"/>
      <c r="BR35" s="402"/>
      <c r="BS35" s="94"/>
      <c r="BT35" s="402"/>
      <c r="BU35" s="94"/>
      <c r="BV35" s="402"/>
      <c r="BW35" s="94"/>
      <c r="BX35" s="402"/>
      <c r="BY35" s="94"/>
      <c r="BZ35" s="402"/>
      <c r="CA35" s="94"/>
      <c r="CB35" s="402"/>
      <c r="CC35" s="94"/>
      <c r="CD35" s="402"/>
      <c r="CE35" s="94"/>
      <c r="CF35" s="402"/>
      <c r="CG35" s="94"/>
      <c r="CH35" s="402"/>
      <c r="CI35" s="94"/>
      <c r="CJ35" s="402"/>
      <c r="CK35" s="94"/>
      <c r="CL35" s="402"/>
      <c r="CM35" s="94"/>
      <c r="CN35" s="402"/>
      <c r="CO35" s="94"/>
      <c r="CP35" s="402"/>
      <c r="CQ35" s="94"/>
      <c r="CR35" s="402"/>
      <c r="CS35" s="94"/>
      <c r="CT35" s="402"/>
      <c r="CU35" s="276"/>
      <c r="CV35" s="276"/>
      <c r="CW35" s="276"/>
      <c r="CX35" s="276"/>
      <c r="CY35" s="276"/>
      <c r="CZ35" s="276"/>
      <c r="DA35" s="276"/>
      <c r="DB35" s="276"/>
      <c r="DC35" s="276"/>
      <c r="DD35" s="276"/>
      <c r="DE35" s="276"/>
      <c r="DF35" s="276"/>
      <c r="DG35" s="276"/>
      <c r="DH35" s="276"/>
      <c r="DI35" s="276"/>
    </row>
    <row r="36" spans="1:113" ht="44.25" customHeight="1" x14ac:dyDescent="0.2">
      <c r="A36" s="275"/>
      <c r="B36" s="275"/>
      <c r="C36" s="273"/>
      <c r="D36" s="285"/>
      <c r="E36" s="288"/>
      <c r="F36" s="288"/>
      <c r="G36" s="288"/>
      <c r="H36" s="288"/>
      <c r="I36" s="288"/>
      <c r="J36" s="288"/>
      <c r="K36" s="288"/>
      <c r="L36" s="288"/>
      <c r="M36" s="288"/>
      <c r="N36" s="288"/>
      <c r="O36" s="288"/>
      <c r="P36" s="288"/>
      <c r="Q36" s="288"/>
      <c r="R36" s="288"/>
      <c r="S36" s="288"/>
      <c r="T36" s="288"/>
      <c r="U36" s="288"/>
      <c r="V36" s="288"/>
      <c r="W36" s="288"/>
      <c r="X36" s="459"/>
      <c r="Y36" s="572"/>
      <c r="Z36" s="835"/>
      <c r="AA36" s="836"/>
      <c r="AB36" s="836"/>
      <c r="AC36" s="836"/>
      <c r="AD36" s="837"/>
      <c r="AE36" s="288"/>
      <c r="AF36" s="288"/>
      <c r="AG36" s="285"/>
      <c r="AH36" s="285"/>
      <c r="AI36" s="285"/>
      <c r="AJ36" s="285"/>
      <c r="AK36" s="289"/>
      <c r="AL36" s="286"/>
      <c r="AM36" s="812" t="str">
        <f>D16&amp;" (W3,8)"</f>
        <v>Autres activités économiques (W3,8)</v>
      </c>
      <c r="AN36" s="813"/>
      <c r="AO36" s="813"/>
      <c r="AP36" s="813"/>
      <c r="AQ36" s="813"/>
      <c r="AR36" s="813"/>
      <c r="AS36" s="813"/>
      <c r="AT36" s="813"/>
      <c r="AU36" s="813"/>
      <c r="AV36" s="813"/>
      <c r="AW36" s="814"/>
      <c r="AX36" s="285"/>
      <c r="AY36" s="460"/>
      <c r="AZ36" s="312" t="s">
        <v>454</v>
      </c>
      <c r="BA36" s="311" t="s">
        <v>412</v>
      </c>
      <c r="BB36" s="94"/>
      <c r="BC36" s="94"/>
      <c r="BD36" s="402"/>
      <c r="BE36" s="111"/>
      <c r="BF36" s="402"/>
      <c r="BG36" s="402"/>
      <c r="BH36" s="402"/>
      <c r="BI36" s="402"/>
      <c r="BJ36" s="402"/>
      <c r="BK36" s="402"/>
      <c r="BL36" s="402"/>
      <c r="BM36" s="111"/>
      <c r="BN36" s="402"/>
      <c r="BO36" s="111"/>
      <c r="BP36" s="402"/>
      <c r="BQ36" s="111"/>
      <c r="BR36" s="402"/>
      <c r="BS36" s="94"/>
      <c r="BT36" s="402"/>
      <c r="BU36" s="94"/>
      <c r="BV36" s="402"/>
      <c r="BW36" s="94"/>
      <c r="BX36" s="402"/>
      <c r="BY36" s="94"/>
      <c r="BZ36" s="402"/>
      <c r="CA36" s="94"/>
      <c r="CB36" s="402"/>
      <c r="CC36" s="94"/>
      <c r="CD36" s="402"/>
      <c r="CE36" s="94"/>
      <c r="CF36" s="402"/>
      <c r="CG36" s="94"/>
      <c r="CH36" s="402"/>
      <c r="CI36" s="94"/>
      <c r="CJ36" s="402"/>
      <c r="CK36" s="94"/>
      <c r="CL36" s="402"/>
      <c r="CM36" s="94"/>
      <c r="CN36" s="402"/>
      <c r="CO36" s="94"/>
      <c r="CP36" s="402"/>
      <c r="CQ36" s="94"/>
      <c r="CR36" s="402"/>
      <c r="CS36" s="94"/>
      <c r="CT36" s="402"/>
      <c r="CU36" s="276"/>
      <c r="CV36" s="276"/>
      <c r="CW36" s="276"/>
      <c r="CX36" s="276"/>
      <c r="CY36" s="276"/>
      <c r="CZ36" s="276"/>
      <c r="DA36" s="276"/>
      <c r="DB36" s="276"/>
      <c r="DC36" s="276"/>
      <c r="DD36" s="276"/>
      <c r="DE36" s="276"/>
      <c r="DF36" s="276"/>
      <c r="DG36" s="276"/>
      <c r="DH36" s="276"/>
      <c r="DI36" s="276"/>
    </row>
    <row r="37" spans="1:113" s="186" customFormat="1" ht="18" customHeight="1" x14ac:dyDescent="0.2">
      <c r="A37" s="175"/>
      <c r="B37" s="176"/>
      <c r="C37" s="390"/>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8"/>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row>
    <row r="38" spans="1:113" s="424" customFormat="1" ht="15.75" x14ac:dyDescent="0.25">
      <c r="A38" s="423"/>
      <c r="B38" s="408">
        <v>2</v>
      </c>
      <c r="C38" s="391" t="s">
        <v>306</v>
      </c>
      <c r="D38" s="392"/>
      <c r="E38" s="391"/>
      <c r="F38" s="205"/>
      <c r="G38" s="205"/>
      <c r="H38" s="393"/>
      <c r="I38" s="394"/>
      <c r="J38" s="394"/>
      <c r="K38" s="394"/>
      <c r="L38" s="394"/>
      <c r="M38" s="394"/>
      <c r="N38" s="394"/>
      <c r="O38" s="394"/>
      <c r="P38" s="395"/>
      <c r="Q38" s="394"/>
      <c r="R38" s="395"/>
      <c r="S38" s="394"/>
      <c r="T38" s="395"/>
      <c r="U38" s="394"/>
      <c r="V38" s="395"/>
      <c r="W38" s="394"/>
      <c r="X38" s="393"/>
      <c r="Y38" s="394"/>
      <c r="Z38" s="393"/>
      <c r="AA38" s="394"/>
      <c r="AB38" s="393"/>
      <c r="AC38" s="394"/>
      <c r="AD38" s="393"/>
      <c r="AE38" s="394"/>
      <c r="AF38" s="393"/>
      <c r="AG38" s="396"/>
      <c r="AH38" s="393"/>
      <c r="AI38" s="394"/>
      <c r="AJ38" s="395"/>
      <c r="AK38" s="394"/>
      <c r="AL38" s="393"/>
      <c r="AM38" s="394"/>
      <c r="AN38" s="393"/>
      <c r="AO38" s="394"/>
      <c r="AP38" s="394"/>
      <c r="AQ38" s="394"/>
      <c r="AR38" s="394"/>
      <c r="AS38" s="394"/>
      <c r="AT38" s="349"/>
      <c r="AU38" s="348"/>
      <c r="AV38" s="349"/>
      <c r="AW38" s="348"/>
      <c r="AX38" s="430"/>
      <c r="AY38" s="206"/>
      <c r="AZ38" s="206"/>
      <c r="BA38" s="206"/>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row>
    <row r="39" spans="1:113" ht="2.25" customHeight="1" x14ac:dyDescent="0.25">
      <c r="C39" s="397"/>
      <c r="D39" s="397"/>
      <c r="E39" s="398"/>
      <c r="F39" s="335"/>
      <c r="G39" s="335"/>
      <c r="H39" s="331"/>
      <c r="I39" s="332"/>
      <c r="J39" s="332"/>
      <c r="K39" s="332"/>
      <c r="L39" s="332"/>
      <c r="M39" s="332"/>
      <c r="N39" s="332"/>
      <c r="O39" s="332"/>
      <c r="P39" s="333"/>
      <c r="Q39" s="332"/>
      <c r="R39" s="333"/>
      <c r="S39" s="332"/>
      <c r="T39" s="333"/>
      <c r="U39" s="332"/>
      <c r="V39" s="333"/>
      <c r="W39" s="332"/>
      <c r="X39" s="331"/>
      <c r="Y39" s="332"/>
      <c r="Z39" s="331"/>
      <c r="AA39" s="332"/>
      <c r="AB39" s="331"/>
      <c r="AC39" s="332"/>
      <c r="AD39" s="331"/>
      <c r="AE39" s="332"/>
      <c r="AF39" s="331"/>
      <c r="AG39" s="399"/>
      <c r="AH39" s="331"/>
      <c r="AI39" s="332"/>
      <c r="AJ39" s="333"/>
      <c r="AK39" s="332"/>
      <c r="AL39" s="331"/>
      <c r="AM39" s="334"/>
      <c r="AN39" s="329"/>
      <c r="AO39" s="334"/>
      <c r="AP39" s="334"/>
      <c r="AQ39" s="334"/>
      <c r="AR39" s="334"/>
      <c r="AS39" s="334"/>
      <c r="AZ39" s="469"/>
    </row>
    <row r="40" spans="1:113" ht="18" customHeight="1" x14ac:dyDescent="0.2">
      <c r="C40" s="307" t="s">
        <v>604</v>
      </c>
      <c r="D40" s="470" t="s">
        <v>307</v>
      </c>
      <c r="E40" s="471"/>
      <c r="F40" s="472"/>
      <c r="G40" s="472"/>
      <c r="H40" s="473"/>
      <c r="I40" s="474"/>
      <c r="J40" s="474"/>
      <c r="K40" s="474"/>
      <c r="L40" s="474"/>
      <c r="M40" s="474"/>
      <c r="N40" s="474"/>
      <c r="O40" s="474"/>
      <c r="P40" s="475"/>
      <c r="Q40" s="474"/>
      <c r="R40" s="475"/>
      <c r="S40" s="474"/>
      <c r="T40" s="475"/>
      <c r="U40" s="474"/>
      <c r="V40" s="475"/>
      <c r="W40" s="474"/>
      <c r="X40" s="473"/>
      <c r="Y40" s="474"/>
      <c r="Z40" s="473"/>
      <c r="AA40" s="474"/>
      <c r="AB40" s="473"/>
      <c r="AC40" s="474"/>
      <c r="AD40" s="473"/>
      <c r="AE40" s="474"/>
      <c r="AF40" s="473"/>
      <c r="AG40" s="476"/>
      <c r="AH40" s="473"/>
      <c r="AI40" s="474"/>
      <c r="AJ40" s="475"/>
      <c r="AK40" s="474"/>
      <c r="AL40" s="473"/>
      <c r="AM40" s="474"/>
      <c r="AN40" s="473"/>
      <c r="AO40" s="474"/>
      <c r="AP40" s="474"/>
      <c r="AQ40" s="474"/>
      <c r="AR40" s="474"/>
      <c r="AS40" s="474"/>
      <c r="AT40" s="473"/>
      <c r="AU40" s="474"/>
      <c r="AV40" s="473"/>
      <c r="AW40" s="474"/>
      <c r="AX40" s="477"/>
      <c r="AY40" s="425"/>
      <c r="AZ40" s="469"/>
    </row>
    <row r="41" spans="1:113" ht="75" customHeight="1" x14ac:dyDescent="0.2">
      <c r="A41" s="175">
        <v>0</v>
      </c>
      <c r="B41" s="176">
        <v>5668</v>
      </c>
      <c r="C41" s="579" t="s">
        <v>634</v>
      </c>
      <c r="D41" s="745" t="s">
        <v>644</v>
      </c>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7"/>
      <c r="AY41" s="478"/>
      <c r="AZ41" s="469"/>
    </row>
    <row r="42" spans="1:113" ht="18" customHeight="1" x14ac:dyDescent="0.2">
      <c r="A42" s="175">
        <v>1</v>
      </c>
      <c r="B42" s="176">
        <v>5669</v>
      </c>
      <c r="C42" s="579" t="s">
        <v>635</v>
      </c>
      <c r="D42" s="760" t="s">
        <v>643</v>
      </c>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668"/>
      <c r="AY42" s="478"/>
      <c r="AZ42" s="469"/>
    </row>
    <row r="43" spans="1:113" ht="18" customHeight="1" x14ac:dyDescent="0.2">
      <c r="A43" s="175">
        <v>0</v>
      </c>
      <c r="B43" s="176">
        <v>5670</v>
      </c>
      <c r="C43" s="579" t="s">
        <v>640</v>
      </c>
      <c r="D43" s="745" t="s">
        <v>645</v>
      </c>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46"/>
      <c r="AX43" s="747"/>
      <c r="AY43" s="478"/>
      <c r="AZ43" s="469"/>
    </row>
    <row r="44" spans="1:113" ht="18" customHeight="1" x14ac:dyDescent="0.2">
      <c r="C44" s="579"/>
      <c r="D44" s="745"/>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6"/>
      <c r="AS44" s="746"/>
      <c r="AT44" s="746"/>
      <c r="AU44" s="746"/>
      <c r="AV44" s="746"/>
      <c r="AW44" s="746"/>
      <c r="AX44" s="747"/>
      <c r="AY44" s="478"/>
      <c r="AZ44" s="469"/>
    </row>
    <row r="45" spans="1:113" ht="18" customHeight="1" x14ac:dyDescent="0.2">
      <c r="C45" s="579"/>
      <c r="D45" s="745"/>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6"/>
      <c r="AU45" s="746"/>
      <c r="AV45" s="746"/>
      <c r="AW45" s="746"/>
      <c r="AX45" s="747"/>
      <c r="AY45" s="478"/>
      <c r="AZ45" s="469"/>
    </row>
    <row r="46" spans="1:113" ht="18" customHeight="1" x14ac:dyDescent="0.2">
      <c r="C46" s="579"/>
      <c r="D46" s="745"/>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6"/>
      <c r="AU46" s="746"/>
      <c r="AV46" s="746"/>
      <c r="AW46" s="746"/>
      <c r="AX46" s="747"/>
      <c r="AY46" s="478"/>
      <c r="AZ46" s="469"/>
    </row>
    <row r="47" spans="1:113" ht="18" customHeight="1" x14ac:dyDescent="0.2">
      <c r="C47" s="579"/>
      <c r="D47" s="745"/>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7"/>
      <c r="AY47" s="478"/>
      <c r="AZ47" s="469"/>
    </row>
    <row r="48" spans="1:113" ht="18" customHeight="1" x14ac:dyDescent="0.2">
      <c r="C48" s="579"/>
      <c r="D48" s="745"/>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6"/>
      <c r="AX48" s="747"/>
      <c r="AY48" s="478"/>
      <c r="AZ48" s="469"/>
    </row>
    <row r="49" spans="1:98" ht="18" customHeight="1" x14ac:dyDescent="0.2">
      <c r="C49" s="579"/>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6"/>
      <c r="AU49" s="746"/>
      <c r="AV49" s="746"/>
      <c r="AW49" s="746"/>
      <c r="AX49" s="747"/>
      <c r="AY49" s="478"/>
      <c r="AZ49" s="425"/>
      <c r="BA49" s="425"/>
      <c r="BB49" s="425"/>
      <c r="BC49" s="425"/>
      <c r="BD49" s="425"/>
      <c r="BE49" s="425"/>
      <c r="BF49" s="425"/>
      <c r="BG49" s="425"/>
      <c r="BH49" s="425"/>
      <c r="BI49" s="425"/>
      <c r="BJ49" s="425"/>
      <c r="BK49" s="425"/>
      <c r="BL49" s="425"/>
      <c r="BM49" s="425"/>
      <c r="BN49" s="425"/>
      <c r="BO49" s="425"/>
      <c r="BP49" s="425"/>
      <c r="BQ49" s="425"/>
      <c r="BR49" s="425"/>
      <c r="BS49" s="425"/>
      <c r="BT49" s="425"/>
      <c r="BU49" s="425"/>
      <c r="BV49" s="425"/>
      <c r="BW49" s="425"/>
      <c r="BX49" s="425"/>
      <c r="BY49" s="425"/>
      <c r="BZ49" s="425"/>
      <c r="CA49" s="425"/>
      <c r="CB49" s="425"/>
      <c r="CC49" s="425"/>
      <c r="CD49" s="425"/>
      <c r="CE49" s="425"/>
      <c r="CF49" s="425"/>
      <c r="CG49" s="425"/>
      <c r="CH49" s="425"/>
      <c r="CI49" s="425"/>
      <c r="CJ49" s="425"/>
      <c r="CK49" s="425"/>
      <c r="CL49" s="425"/>
      <c r="CM49" s="425"/>
      <c r="CN49" s="425"/>
      <c r="CO49" s="425"/>
      <c r="CP49" s="425"/>
      <c r="CQ49" s="425"/>
      <c r="CR49" s="425"/>
      <c r="CS49" s="425"/>
      <c r="CT49" s="425"/>
    </row>
    <row r="50" spans="1:98" ht="18" customHeight="1" x14ac:dyDescent="0.2">
      <c r="C50" s="579"/>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6"/>
      <c r="AU50" s="746"/>
      <c r="AV50" s="746"/>
      <c r="AW50" s="746"/>
      <c r="AX50" s="747"/>
      <c r="AY50" s="478"/>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5"/>
      <c r="BX50" s="425"/>
      <c r="BY50" s="425"/>
      <c r="BZ50" s="425"/>
      <c r="CA50" s="425"/>
      <c r="CB50" s="425"/>
      <c r="CC50" s="425"/>
      <c r="CD50" s="425"/>
      <c r="CE50" s="425"/>
      <c r="CF50" s="425"/>
      <c r="CG50" s="425"/>
      <c r="CH50" s="425"/>
      <c r="CI50" s="425"/>
      <c r="CJ50" s="425"/>
      <c r="CK50" s="425"/>
      <c r="CL50" s="425"/>
      <c r="CM50" s="425"/>
      <c r="CN50" s="425"/>
      <c r="CO50" s="425"/>
      <c r="CP50" s="425"/>
      <c r="CQ50" s="425"/>
      <c r="CR50" s="425"/>
      <c r="CS50" s="425"/>
      <c r="CT50" s="425"/>
    </row>
    <row r="51" spans="1:98" ht="18" customHeight="1" x14ac:dyDescent="0.2">
      <c r="C51" s="579"/>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c r="AY51" s="478"/>
      <c r="AZ51" s="425"/>
      <c r="BA51" s="425"/>
      <c r="BB51" s="425"/>
      <c r="BC51" s="425"/>
      <c r="BD51" s="425"/>
      <c r="BE51" s="425"/>
      <c r="BF51" s="425"/>
      <c r="BG51" s="425"/>
      <c r="BH51" s="425"/>
      <c r="BI51" s="425"/>
      <c r="BJ51" s="425"/>
      <c r="BK51" s="425"/>
      <c r="BL51" s="425"/>
      <c r="BM51" s="425"/>
      <c r="BN51" s="425"/>
      <c r="BO51" s="425"/>
      <c r="BP51" s="425"/>
      <c r="BQ51" s="425"/>
      <c r="BR51" s="425"/>
      <c r="BS51" s="425"/>
      <c r="BT51" s="425"/>
      <c r="BU51" s="425"/>
      <c r="BV51" s="425"/>
      <c r="BW51" s="425"/>
      <c r="BX51" s="425"/>
      <c r="BY51" s="425"/>
      <c r="BZ51" s="425"/>
      <c r="CA51" s="425"/>
      <c r="CB51" s="425"/>
      <c r="CC51" s="425"/>
      <c r="CD51" s="425"/>
      <c r="CE51" s="425"/>
      <c r="CF51" s="425"/>
      <c r="CG51" s="425"/>
      <c r="CH51" s="425"/>
      <c r="CI51" s="425"/>
      <c r="CJ51" s="425"/>
      <c r="CK51" s="425"/>
      <c r="CL51" s="425"/>
      <c r="CM51" s="425"/>
      <c r="CN51" s="425"/>
      <c r="CO51" s="425"/>
      <c r="CP51" s="425"/>
      <c r="CQ51" s="425"/>
      <c r="CR51" s="425"/>
      <c r="CS51" s="425"/>
      <c r="CT51" s="425"/>
    </row>
    <row r="52" spans="1:98" ht="18" customHeight="1" x14ac:dyDescent="0.2">
      <c r="C52" s="579"/>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6"/>
      <c r="AU52" s="746"/>
      <c r="AV52" s="746"/>
      <c r="AW52" s="746"/>
      <c r="AX52" s="747"/>
      <c r="AY52" s="478"/>
    </row>
    <row r="53" spans="1:98" ht="18" customHeight="1" x14ac:dyDescent="0.2">
      <c r="C53" s="579"/>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6"/>
      <c r="AU53" s="746"/>
      <c r="AV53" s="746"/>
      <c r="AW53" s="746"/>
      <c r="AX53" s="747"/>
      <c r="AY53" s="478"/>
    </row>
    <row r="54" spans="1:98" ht="18" customHeight="1" x14ac:dyDescent="0.2">
      <c r="C54" s="579"/>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6"/>
      <c r="AS54" s="746"/>
      <c r="AT54" s="746"/>
      <c r="AU54" s="746"/>
      <c r="AV54" s="746"/>
      <c r="AW54" s="746"/>
      <c r="AX54" s="747"/>
      <c r="AY54" s="478"/>
    </row>
    <row r="55" spans="1:98" ht="18" customHeight="1" x14ac:dyDescent="0.2">
      <c r="C55" s="579"/>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6"/>
      <c r="AU55" s="746"/>
      <c r="AV55" s="746"/>
      <c r="AW55" s="746"/>
      <c r="AX55" s="747"/>
      <c r="AY55" s="478"/>
    </row>
    <row r="56" spans="1:98" ht="18" customHeight="1" x14ac:dyDescent="0.2">
      <c r="C56" s="579"/>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7"/>
      <c r="AY56" s="478"/>
    </row>
    <row r="57" spans="1:98" ht="18" customHeight="1" x14ac:dyDescent="0.2">
      <c r="C57" s="579"/>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6"/>
      <c r="AS57" s="746"/>
      <c r="AT57" s="746"/>
      <c r="AU57" s="746"/>
      <c r="AV57" s="746"/>
      <c r="AW57" s="746"/>
      <c r="AX57" s="747"/>
      <c r="AY57" s="478"/>
    </row>
    <row r="58" spans="1:98" ht="18" customHeight="1" x14ac:dyDescent="0.2">
      <c r="C58" s="579"/>
      <c r="D58" s="745"/>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6"/>
      <c r="AS58" s="746"/>
      <c r="AT58" s="746"/>
      <c r="AU58" s="746"/>
      <c r="AV58" s="746"/>
      <c r="AW58" s="746"/>
      <c r="AX58" s="747"/>
      <c r="AY58" s="478"/>
    </row>
    <row r="59" spans="1:98" ht="18" customHeight="1" x14ac:dyDescent="0.2">
      <c r="C59" s="579"/>
      <c r="D59" s="745"/>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c r="AN59" s="746"/>
      <c r="AO59" s="746"/>
      <c r="AP59" s="746"/>
      <c r="AQ59" s="746"/>
      <c r="AR59" s="746"/>
      <c r="AS59" s="746"/>
      <c r="AT59" s="746"/>
      <c r="AU59" s="746"/>
      <c r="AV59" s="746"/>
      <c r="AW59" s="746"/>
      <c r="AX59" s="747"/>
      <c r="AY59" s="478"/>
    </row>
    <row r="60" spans="1:98" ht="18" customHeight="1" x14ac:dyDescent="0.2">
      <c r="C60" s="579"/>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c r="AN60" s="746"/>
      <c r="AO60" s="746"/>
      <c r="AP60" s="746"/>
      <c r="AQ60" s="746"/>
      <c r="AR60" s="746"/>
      <c r="AS60" s="746"/>
      <c r="AT60" s="746"/>
      <c r="AU60" s="746"/>
      <c r="AV60" s="746"/>
      <c r="AW60" s="746"/>
      <c r="AX60" s="747"/>
      <c r="AY60" s="478"/>
    </row>
    <row r="61" spans="1:98" ht="18" customHeight="1" x14ac:dyDescent="0.2">
      <c r="C61" s="579"/>
      <c r="D61" s="745"/>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6"/>
      <c r="AP61" s="746"/>
      <c r="AQ61" s="746"/>
      <c r="AR61" s="746"/>
      <c r="AS61" s="746"/>
      <c r="AT61" s="746"/>
      <c r="AU61" s="746"/>
      <c r="AV61" s="746"/>
      <c r="AW61" s="746"/>
      <c r="AX61" s="747"/>
      <c r="AY61" s="478"/>
    </row>
    <row r="62" spans="1:98" ht="18" customHeight="1" x14ac:dyDescent="0.2">
      <c r="C62" s="587"/>
      <c r="D62" s="765"/>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c r="AP62" s="766"/>
      <c r="AQ62" s="766"/>
      <c r="AR62" s="766"/>
      <c r="AS62" s="766"/>
      <c r="AT62" s="766"/>
      <c r="AU62" s="766"/>
      <c r="AV62" s="766"/>
      <c r="AW62" s="766"/>
      <c r="AX62" s="767"/>
      <c r="AY62" s="478"/>
    </row>
    <row r="63" spans="1:98" s="276" customFormat="1" ht="10.5" customHeight="1" x14ac:dyDescent="0.2">
      <c r="A63" s="479"/>
      <c r="B63" s="411"/>
      <c r="C63" s="424"/>
      <c r="D63" s="424"/>
      <c r="E63" s="189"/>
      <c r="F63" s="210"/>
      <c r="G63" s="210"/>
      <c r="H63" s="263"/>
      <c r="I63" s="264"/>
      <c r="J63" s="264"/>
      <c r="K63" s="264"/>
      <c r="L63" s="264"/>
      <c r="M63" s="264"/>
      <c r="N63" s="264"/>
      <c r="O63" s="264"/>
      <c r="P63" s="265"/>
      <c r="Q63" s="264"/>
      <c r="R63" s="265"/>
      <c r="S63" s="264"/>
      <c r="T63" s="265"/>
      <c r="U63" s="264"/>
      <c r="V63" s="265"/>
      <c r="W63" s="264"/>
      <c r="X63" s="263"/>
      <c r="Y63" s="264"/>
      <c r="Z63" s="263"/>
      <c r="AA63" s="264"/>
      <c r="AB63" s="263"/>
      <c r="AC63" s="264"/>
      <c r="AD63" s="263"/>
      <c r="AE63" s="264"/>
      <c r="AF63" s="263"/>
      <c r="AG63" s="480"/>
      <c r="AH63" s="263"/>
      <c r="AI63" s="264"/>
      <c r="AJ63" s="265"/>
      <c r="AK63" s="264"/>
      <c r="AL63" s="263"/>
      <c r="AM63" s="264"/>
      <c r="AN63" s="263"/>
      <c r="AO63" s="334"/>
      <c r="AP63" s="334"/>
      <c r="AQ63" s="334"/>
      <c r="AR63" s="334"/>
      <c r="AS63" s="334"/>
      <c r="AT63" s="329"/>
      <c r="AU63" s="334"/>
      <c r="AV63" s="329"/>
      <c r="AW63" s="334"/>
      <c r="AY63" s="425"/>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row>
    <row r="64" spans="1:98" s="276" customFormat="1" x14ac:dyDescent="0.2">
      <c r="A64" s="479"/>
      <c r="B64" s="411"/>
      <c r="C64" s="424"/>
      <c r="D64" s="424"/>
      <c r="E64" s="189"/>
      <c r="F64" s="210"/>
      <c r="G64" s="210"/>
      <c r="H64" s="263"/>
      <c r="I64" s="264"/>
      <c r="J64" s="264"/>
      <c r="K64" s="264"/>
      <c r="L64" s="264"/>
      <c r="M64" s="264"/>
      <c r="N64" s="264"/>
      <c r="O64" s="264"/>
      <c r="P64" s="265"/>
      <c r="Q64" s="264"/>
      <c r="R64" s="265"/>
      <c r="S64" s="264"/>
      <c r="T64" s="265"/>
      <c r="U64" s="264"/>
      <c r="V64" s="265"/>
      <c r="W64" s="264"/>
      <c r="X64" s="263"/>
      <c r="Y64" s="264"/>
      <c r="Z64" s="263"/>
      <c r="AA64" s="264"/>
      <c r="AB64" s="263"/>
      <c r="AC64" s="264"/>
      <c r="AD64" s="263"/>
      <c r="AE64" s="264"/>
      <c r="AF64" s="263"/>
      <c r="AG64" s="264"/>
      <c r="AH64" s="263"/>
      <c r="AI64" s="264"/>
      <c r="AJ64" s="265"/>
      <c r="AK64" s="264"/>
      <c r="AL64" s="263"/>
      <c r="AM64" s="264"/>
      <c r="AN64" s="263"/>
      <c r="AO64" s="334"/>
      <c r="AP64" s="334"/>
      <c r="AQ64" s="334"/>
      <c r="AR64" s="334"/>
      <c r="AS64" s="334"/>
      <c r="AT64" s="329"/>
      <c r="AU64" s="334"/>
      <c r="AV64" s="329"/>
      <c r="AW64" s="334"/>
      <c r="AY64" s="425"/>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row>
    <row r="65" spans="1:98" s="276" customFormat="1" x14ac:dyDescent="0.2">
      <c r="A65" s="479"/>
      <c r="B65" s="411"/>
      <c r="C65" s="424"/>
      <c r="D65" s="424"/>
      <c r="E65" s="189"/>
      <c r="F65" s="189"/>
      <c r="G65" s="189"/>
      <c r="H65" s="263"/>
      <c r="I65" s="264"/>
      <c r="J65" s="264"/>
      <c r="K65" s="264"/>
      <c r="L65" s="264"/>
      <c r="M65" s="264"/>
      <c r="N65" s="264"/>
      <c r="O65" s="264"/>
      <c r="P65" s="265"/>
      <c r="Q65" s="264"/>
      <c r="R65" s="265"/>
      <c r="S65" s="264"/>
      <c r="T65" s="265"/>
      <c r="U65" s="264"/>
      <c r="V65" s="265"/>
      <c r="W65" s="264"/>
      <c r="X65" s="263"/>
      <c r="Y65" s="264"/>
      <c r="Z65" s="263"/>
      <c r="AA65" s="264"/>
      <c r="AB65" s="263"/>
      <c r="AC65" s="264"/>
      <c r="AD65" s="263"/>
      <c r="AE65" s="264"/>
      <c r="AF65" s="263"/>
      <c r="AG65" s="264"/>
      <c r="AH65" s="263"/>
      <c r="AI65" s="264"/>
      <c r="AJ65" s="265"/>
      <c r="AK65" s="264"/>
      <c r="AL65" s="263"/>
      <c r="AM65" s="264"/>
      <c r="AN65" s="263"/>
      <c r="AO65" s="334"/>
      <c r="AP65" s="334"/>
      <c r="AQ65" s="334"/>
      <c r="AR65" s="334"/>
      <c r="AS65" s="334"/>
      <c r="AT65" s="329"/>
      <c r="AU65" s="334"/>
      <c r="AV65" s="329"/>
      <c r="AW65" s="334"/>
      <c r="AY65" s="425"/>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row>
    <row r="66" spans="1:98" x14ac:dyDescent="0.2">
      <c r="C66" s="424"/>
      <c r="D66" s="424"/>
    </row>
    <row r="67" spans="1:98" x14ac:dyDescent="0.2">
      <c r="C67" s="405"/>
      <c r="D67" s="405"/>
      <c r="E67" s="405"/>
      <c r="F67" s="405"/>
      <c r="G67" s="405"/>
      <c r="H67" s="329"/>
      <c r="I67" s="334"/>
      <c r="J67" s="334"/>
      <c r="K67" s="334"/>
      <c r="L67" s="334"/>
      <c r="M67" s="334"/>
      <c r="N67" s="334"/>
      <c r="O67" s="334"/>
      <c r="P67" s="410"/>
      <c r="Q67" s="334"/>
      <c r="R67" s="410"/>
      <c r="S67" s="334"/>
      <c r="T67" s="410"/>
      <c r="U67" s="334"/>
      <c r="V67" s="410"/>
      <c r="W67" s="334"/>
      <c r="X67" s="329"/>
      <c r="Y67" s="334"/>
      <c r="Z67" s="329"/>
      <c r="AA67" s="334"/>
      <c r="AB67" s="329"/>
      <c r="AC67" s="334"/>
      <c r="AD67" s="329"/>
      <c r="AE67" s="334"/>
      <c r="AF67" s="329"/>
      <c r="AG67" s="334"/>
      <c r="AH67" s="329"/>
      <c r="AI67" s="334"/>
      <c r="AJ67" s="410"/>
      <c r="AK67" s="334"/>
      <c r="AL67" s="329"/>
      <c r="AM67" s="334"/>
      <c r="AN67" s="329"/>
    </row>
  </sheetData>
  <sheetProtection sheet="1" formatCells="0" formatColumns="0" formatRows="0" insertColumns="0" insertRows="0" insertHyperlinks="0"/>
  <mergeCells count="42">
    <mergeCell ref="AM28:AW28"/>
    <mergeCell ref="D44:AX44"/>
    <mergeCell ref="D28:G28"/>
    <mergeCell ref="D46:AX46"/>
    <mergeCell ref="D45:AX45"/>
    <mergeCell ref="E30:Z32"/>
    <mergeCell ref="Z35:AD36"/>
    <mergeCell ref="AM36:AW36"/>
    <mergeCell ref="D42:AW42"/>
    <mergeCell ref="AM34:AW34"/>
    <mergeCell ref="BM3:BO3"/>
    <mergeCell ref="D43:AX43"/>
    <mergeCell ref="AH28:AJ34"/>
    <mergeCell ref="D27:AX27"/>
    <mergeCell ref="BG3:BI3"/>
    <mergeCell ref="AM30:AW30"/>
    <mergeCell ref="D25:AU25"/>
    <mergeCell ref="C5:AN5"/>
    <mergeCell ref="AM32:AW32"/>
    <mergeCell ref="AG6:AV6"/>
    <mergeCell ref="C6:AF6"/>
    <mergeCell ref="D41:AX41"/>
    <mergeCell ref="AD30:AF32"/>
    <mergeCell ref="D24:AX24"/>
    <mergeCell ref="D26:AX26"/>
    <mergeCell ref="D23:AX23"/>
    <mergeCell ref="D52:AX52"/>
    <mergeCell ref="D53:AX53"/>
    <mergeCell ref="D51:AX51"/>
    <mergeCell ref="D47:AX47"/>
    <mergeCell ref="D56:AX56"/>
    <mergeCell ref="D48:AX48"/>
    <mergeCell ref="D55:AX55"/>
    <mergeCell ref="D50:AX50"/>
    <mergeCell ref="D54:AX54"/>
    <mergeCell ref="D49:AX49"/>
    <mergeCell ref="D57:AX57"/>
    <mergeCell ref="D62:AX62"/>
    <mergeCell ref="D58:AX58"/>
    <mergeCell ref="D59:AX59"/>
    <mergeCell ref="D60:AX60"/>
    <mergeCell ref="D61:AX61"/>
  </mergeCells>
  <phoneticPr fontId="8" type="noConversion"/>
  <conditionalFormatting sqref="BU31 BW31">
    <cfRule type="cellIs" dxfId="142" priority="136" stopIfTrue="1" operator="greaterThan">
      <formula>BU29</formula>
    </cfRule>
  </conditionalFormatting>
  <conditionalFormatting sqref="BU29 BW29 BY29 CA29 CC29 CE29 CG29 CI29 CK29 CM29 CO29 CQ29 CS29">
    <cfRule type="cellIs" dxfId="141" priority="143" stopIfTrue="1" operator="greaterThan">
      <formula>BU24</formula>
    </cfRule>
  </conditionalFormatting>
  <conditionalFormatting sqref="F10">
    <cfRule type="cellIs" dxfId="140" priority="46" stopIfTrue="1" operator="lessThan">
      <formula>F8-F9-(0.01*(F8-F9))</formula>
    </cfRule>
    <cfRule type="cellIs" dxfId="139" priority="47" stopIfTrue="1" operator="lessThan">
      <formula>F12+F13+F14+F15+F16-(0.01*(F12+F13+F14+F15+F16))</formula>
    </cfRule>
  </conditionalFormatting>
  <conditionalFormatting sqref="H10">
    <cfRule type="cellIs" dxfId="138" priority="44" stopIfTrue="1" operator="lessThan">
      <formula>H8-H9-(0.01*(H8-H9))</formula>
    </cfRule>
    <cfRule type="cellIs" dxfId="137" priority="45" stopIfTrue="1" operator="lessThan">
      <formula>H12+H13+H14+H15+H16-(0.01*(H12+H13+H14+H15+H16))</formula>
    </cfRule>
  </conditionalFormatting>
  <conditionalFormatting sqref="J10">
    <cfRule type="cellIs" dxfId="136" priority="42" stopIfTrue="1" operator="lessThan">
      <formula>J8-J9-(0.01*(J8-J9))</formula>
    </cfRule>
    <cfRule type="cellIs" dxfId="135" priority="43" stopIfTrue="1" operator="lessThan">
      <formula>J12+J13+J14+J15+J16-(0.01*(J12+J13+J14+J15+J16))</formula>
    </cfRule>
  </conditionalFormatting>
  <conditionalFormatting sqref="L10">
    <cfRule type="cellIs" dxfId="134" priority="40" stopIfTrue="1" operator="lessThan">
      <formula>L8-L9-(0.01*(L8-L9))</formula>
    </cfRule>
    <cfRule type="cellIs" dxfId="133" priority="41" stopIfTrue="1" operator="lessThan">
      <formula>L12+L13+L14+L15+L16-(0.01*(L12+L13+L14+L15+L16))</formula>
    </cfRule>
  </conditionalFormatting>
  <conditionalFormatting sqref="N10">
    <cfRule type="cellIs" dxfId="132" priority="38" stopIfTrue="1" operator="lessThan">
      <formula>N8-N9-(0.01*(N8-N9))</formula>
    </cfRule>
    <cfRule type="cellIs" dxfId="131" priority="39" stopIfTrue="1" operator="lessThan">
      <formula>N12+N13+N14+N15+N16-(0.01*(N12+N13+N14+N15+N16))</formula>
    </cfRule>
  </conditionalFormatting>
  <conditionalFormatting sqref="P10">
    <cfRule type="cellIs" dxfId="130" priority="36" stopIfTrue="1" operator="lessThan">
      <formula>P8-P9-(0.01*(P8-P9))</formula>
    </cfRule>
    <cfRule type="cellIs" dxfId="129" priority="37" stopIfTrue="1" operator="lessThan">
      <formula>P12+P13+P14+P15+P16-(0.01*(P12+P13+P14+P15+P16))</formula>
    </cfRule>
  </conditionalFormatting>
  <conditionalFormatting sqref="R10">
    <cfRule type="cellIs" dxfId="128" priority="34" stopIfTrue="1" operator="lessThan">
      <formula>R8-R9-(0.01*(R8-R9))</formula>
    </cfRule>
    <cfRule type="cellIs" dxfId="127" priority="35" stopIfTrue="1" operator="lessThan">
      <formula>R12+R13+R14+R15+R16-(0.01*(R12+R13+R14+R15+R16))</formula>
    </cfRule>
  </conditionalFormatting>
  <conditionalFormatting sqref="T10">
    <cfRule type="cellIs" dxfId="126" priority="32" stopIfTrue="1" operator="lessThan">
      <formula>T8-T9-(0.01*(T8-T9))</formula>
    </cfRule>
    <cfRule type="cellIs" dxfId="125" priority="33" stopIfTrue="1" operator="lessThan">
      <formula>T12+T13+T14+T15+T16-(0.01*(T12+T13+T14+T15+T16))</formula>
    </cfRule>
  </conditionalFormatting>
  <conditionalFormatting sqref="V10">
    <cfRule type="cellIs" dxfId="124" priority="30" stopIfTrue="1" operator="lessThan">
      <formula>V8-V9-(0.01*(V8-V9))</formula>
    </cfRule>
    <cfRule type="cellIs" dxfId="123" priority="31" stopIfTrue="1" operator="lessThan">
      <formula>V12+V13+V14+V15+V16-(0.01*(V12+V13+V14+V15+V16))</formula>
    </cfRule>
  </conditionalFormatting>
  <conditionalFormatting sqref="X10">
    <cfRule type="cellIs" dxfId="122" priority="28" stopIfTrue="1" operator="lessThan">
      <formula>X8-X9-(0.01*(X8-X9))</formula>
    </cfRule>
    <cfRule type="cellIs" dxfId="121" priority="29" stopIfTrue="1" operator="lessThan">
      <formula>X12+X13+X14+X15+X16-(0.01*(X12+X13+X14+X15+X16))</formula>
    </cfRule>
  </conditionalFormatting>
  <conditionalFormatting sqref="Z10">
    <cfRule type="cellIs" dxfId="120" priority="26" stopIfTrue="1" operator="lessThan">
      <formula>Z8-Z9-(0.01*(Z8-Z9))</formula>
    </cfRule>
    <cfRule type="cellIs" dxfId="119" priority="27" stopIfTrue="1" operator="lessThan">
      <formula>Z12+Z13+Z14+Z15+Z16-(0.01*(Z12+Z13+Z14+Z15+Z16))</formula>
    </cfRule>
  </conditionalFormatting>
  <conditionalFormatting sqref="AB10">
    <cfRule type="cellIs" dxfId="118" priority="24" stopIfTrue="1" operator="lessThan">
      <formula>AB8-AB9-(0.01*(AB8-AB9))</formula>
    </cfRule>
    <cfRule type="cellIs" dxfId="117" priority="25" stopIfTrue="1" operator="lessThan">
      <formula>AB12+AB13+AB14+AB15+AB16-(0.01*(AB12+AB13+AB14+AB15+AB16))</formula>
    </cfRule>
  </conditionalFormatting>
  <conditionalFormatting sqref="AD10">
    <cfRule type="cellIs" dxfId="116" priority="22" stopIfTrue="1" operator="lessThan">
      <formula>AD8-AD9-(0.01*(AD8-AD9))</formula>
    </cfRule>
    <cfRule type="cellIs" dxfId="115" priority="23" stopIfTrue="1" operator="lessThan">
      <formula>AD12+AD13+AD14+AD15+AD16-(0.01*(AD12+AD13+AD14+AD15+AD16))</formula>
    </cfRule>
  </conditionalFormatting>
  <conditionalFormatting sqref="AF10">
    <cfRule type="cellIs" dxfId="114" priority="20" stopIfTrue="1" operator="lessThan">
      <formula>AF8-AF9-(0.01*(AF8-AF9))</formula>
    </cfRule>
    <cfRule type="cellIs" dxfId="113" priority="21" stopIfTrue="1" operator="lessThan">
      <formula>AF12+AF13+AF14+AF15+AF16-(0.01*(AF12+AF13+AF14+AF15+AF16))</formula>
    </cfRule>
  </conditionalFormatting>
  <conditionalFormatting sqref="AH10">
    <cfRule type="cellIs" dxfId="112" priority="18" stopIfTrue="1" operator="lessThan">
      <formula>AH8-AH9-(0.01*(AH8-AH9))</formula>
    </cfRule>
    <cfRule type="cellIs" dxfId="111" priority="19" stopIfTrue="1" operator="lessThan">
      <formula>AH12+AH13+AH14+AH15+AH16-(0.01*(AH12+AH13+AH14+AH15+AH16))</formula>
    </cfRule>
  </conditionalFormatting>
  <conditionalFormatting sqref="AJ10">
    <cfRule type="cellIs" dxfId="110" priority="16" stopIfTrue="1" operator="lessThan">
      <formula>AJ8-AJ9-(0.01*(AJ8-AJ9))</formula>
    </cfRule>
    <cfRule type="cellIs" dxfId="109" priority="17" stopIfTrue="1" operator="lessThan">
      <formula>AJ12+AJ13+AJ14+AJ15+AJ16-(0.01*(AJ12+AJ13+AJ14+AJ15+AJ16))</formula>
    </cfRule>
  </conditionalFormatting>
  <conditionalFormatting sqref="AL10">
    <cfRule type="cellIs" dxfId="108" priority="14" stopIfTrue="1" operator="lessThan">
      <formula>AL8-AL9-(0.01*(AL8-AL9))</formula>
    </cfRule>
    <cfRule type="cellIs" dxfId="107" priority="15" stopIfTrue="1" operator="lessThan">
      <formula>AL12+AL13+AL14+AL15+AL16-(0.01*(AL12+AL13+AL14+AL15+AL16))</formula>
    </cfRule>
  </conditionalFormatting>
  <conditionalFormatting sqref="AN10">
    <cfRule type="cellIs" dxfId="106" priority="12" stopIfTrue="1" operator="lessThan">
      <formula>AN8-AN9-(0.01*(AN8-AN9))</formula>
    </cfRule>
    <cfRule type="cellIs" dxfId="105" priority="13" stopIfTrue="1" operator="lessThan">
      <formula>AN12+AN13+AN14+AN15+AN16-(0.01*(AN12+AN13+AN14+AN15+AN16))</formula>
    </cfRule>
  </conditionalFormatting>
  <conditionalFormatting sqref="AP10">
    <cfRule type="cellIs" dxfId="104" priority="10" stopIfTrue="1" operator="lessThan">
      <formula>AP8-AP9-(0.01*(AP8-AP9))</formula>
    </cfRule>
    <cfRule type="cellIs" dxfId="103" priority="11" stopIfTrue="1" operator="lessThan">
      <formula>AP12+AP13+AP14+AP15+AP16-(0.01*(AP12+AP13+AP14+AP15+AP16))</formula>
    </cfRule>
  </conditionalFormatting>
  <conditionalFormatting sqref="AR10">
    <cfRule type="cellIs" dxfId="102" priority="8" stopIfTrue="1" operator="lessThan">
      <formula>AR8-AR9-(0.01*(AR8-AR9))</formula>
    </cfRule>
    <cfRule type="cellIs" dxfId="101" priority="9" stopIfTrue="1" operator="lessThan">
      <formula>AR12+AR13+AR14+AR15+AR16-(0.01*(AR12+AR13+AR14+AR15+AR16))</formula>
    </cfRule>
  </conditionalFormatting>
  <conditionalFormatting sqref="AT10">
    <cfRule type="cellIs" dxfId="100" priority="6" stopIfTrue="1" operator="lessThan">
      <formula>AT8-AT9-(0.01*(AT8-AT9))</formula>
    </cfRule>
    <cfRule type="cellIs" dxfId="99" priority="7" stopIfTrue="1" operator="lessThan">
      <formula>AT12+AT13+AT14+AT15+AT16-(0.01*(AT12+AT13+AT14+AT15+AT16))</formula>
    </cfRule>
  </conditionalFormatting>
  <conditionalFormatting sqref="AV10">
    <cfRule type="cellIs" dxfId="98" priority="4" stopIfTrue="1" operator="lessThan">
      <formula>AV8-AV9-(0.01*(AV8-AV9))</formula>
    </cfRule>
    <cfRule type="cellIs" dxfId="97" priority="5" stopIfTrue="1" operator="lessThan">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dxfId="96" priority="2" stopIfTrue="1" operator="equal">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dxfId="95" priority="1" stopIfTrue="1" operator="equal">
      <formula>"&gt; 25%"</formula>
    </cfRule>
  </conditionalFormatting>
  <conditionalFormatting sqref="BE8:BE10 BE12:BE16">
    <cfRule type="cellIs" dxfId="94" priority="3" stopIfTrue="1" operator="equal">
      <formula>"&gt; 100%"</formula>
    </cfRule>
  </conditionalFormatting>
  <printOptions horizontalCentered="1"/>
  <pageMargins left="0.56000000000000005" right="0.4" top="0.36" bottom="0.47" header="0.24" footer="0.25"/>
  <pageSetup paperSize="9" scale="64" fitToHeight="2" orientation="landscape" r:id="rId1"/>
  <headerFooter alignWithMargins="0">
    <oddFooter>&amp;C&amp;"Arial,Normal"&amp;8Questionnaire UNSD/PNUE 2013 sur les Statistiques de l'environnement - Section d'eau - p.&amp;P</oddFooter>
  </headerFooter>
  <rowBreaks count="1" manualBreakCount="1">
    <brk id="36" min="2" max="4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A110"/>
  <sheetViews>
    <sheetView showGridLines="0" topLeftCell="C1" zoomScale="85" zoomScaleNormal="85" zoomScaleSheetLayoutView="85" workbookViewId="0">
      <selection activeCell="C1" sqref="C1"/>
    </sheetView>
  </sheetViews>
  <sheetFormatPr defaultColWidth="9.33203125" defaultRowHeight="12.75" x14ac:dyDescent="0.2"/>
  <cols>
    <col min="1" max="1" width="3.6640625" style="175" hidden="1" customWidth="1"/>
    <col min="2" max="2" width="5.1640625" style="176" hidden="1" customWidth="1"/>
    <col min="3" max="3" width="8.33203125" style="189" customWidth="1"/>
    <col min="4" max="4" width="37.6640625" style="189" customWidth="1"/>
    <col min="5" max="5" width="13.6640625" style="189" customWidth="1"/>
    <col min="6" max="6" width="8.83203125" style="189" customWidth="1"/>
    <col min="7" max="7" width="1.83203125" style="189" customWidth="1"/>
    <col min="8" max="8" width="7" style="263" hidden="1" customWidth="1"/>
    <col min="9" max="9" width="1.83203125" style="264" hidden="1" customWidth="1"/>
    <col min="10" max="10" width="7.1640625" style="264" hidden="1" customWidth="1"/>
    <col min="11" max="11" width="1.6640625" style="264" hidden="1" customWidth="1"/>
    <col min="12" max="12" width="7.1640625" style="264" hidden="1" customWidth="1"/>
    <col min="13" max="13" width="1.6640625" style="264" hidden="1" customWidth="1"/>
    <col min="14" max="14" width="7.1640625" style="264" hidden="1" customWidth="1"/>
    <col min="15" max="15" width="1.83203125" style="264" hidden="1" customWidth="1"/>
    <col min="16" max="16" width="7" style="265" hidden="1" customWidth="1"/>
    <col min="17" max="17" width="1.83203125" style="264" hidden="1" customWidth="1"/>
    <col min="18" max="18" width="7" style="265" hidden="1" customWidth="1"/>
    <col min="19" max="19" width="1.83203125" style="264" hidden="1" customWidth="1"/>
    <col min="20" max="20" width="7" style="265" hidden="1" customWidth="1"/>
    <col min="21" max="21" width="1.83203125" style="264" hidden="1" customWidth="1"/>
    <col min="22" max="22" width="7" style="265" hidden="1" customWidth="1"/>
    <col min="23" max="23" width="1.83203125" style="264" hidden="1" customWidth="1"/>
    <col min="24" max="24" width="7" style="263" hidden="1" customWidth="1"/>
    <col min="25" max="25" width="1.6640625" style="264" hidden="1" customWidth="1"/>
    <col min="26" max="26" width="7" style="263" customWidth="1"/>
    <col min="27" max="27" width="1.83203125" style="264" customWidth="1"/>
    <col min="28" max="28" width="7" style="263" customWidth="1"/>
    <col min="29" max="29" width="1.83203125" style="264" customWidth="1"/>
    <col min="30" max="30" width="7" style="263" customWidth="1"/>
    <col min="31" max="31" width="1.83203125" style="264" customWidth="1"/>
    <col min="32" max="32" width="7" style="263" customWidth="1"/>
    <col min="33" max="33" width="1.83203125" style="264" customWidth="1"/>
    <col min="34" max="34" width="7" style="263" customWidth="1"/>
    <col min="35" max="35" width="1.83203125" style="264" customWidth="1"/>
    <col min="36" max="36" width="7" style="265" customWidth="1"/>
    <col min="37" max="37" width="1.83203125" style="264" customWidth="1"/>
    <col min="38" max="38" width="7" style="263" customWidth="1"/>
    <col min="39" max="39" width="1.83203125" style="264" customWidth="1"/>
    <col min="40" max="40" width="7" style="263" customWidth="1"/>
    <col min="41" max="41" width="1.83203125" style="264" customWidth="1"/>
    <col min="42" max="42" width="7" style="264" customWidth="1"/>
    <col min="43" max="43" width="1.83203125" style="264" customWidth="1"/>
    <col min="44" max="44" width="7" style="264" customWidth="1"/>
    <col min="45" max="45" width="1.83203125" style="264" customWidth="1"/>
    <col min="46" max="46" width="7" style="263" customWidth="1"/>
    <col min="47" max="47" width="1.83203125" style="264" customWidth="1"/>
    <col min="48" max="48" width="7" style="263" customWidth="1"/>
    <col min="49" max="49" width="1.83203125" style="264" customWidth="1"/>
    <col min="50" max="50" width="1.83203125" style="189" customWidth="1"/>
    <col min="51" max="51" width="4.5" style="187" customWidth="1"/>
    <col min="52" max="52" width="7.6640625" style="187" customWidth="1"/>
    <col min="53" max="53" width="31.6640625" style="187" customWidth="1"/>
    <col min="54" max="54" width="12" style="187" customWidth="1"/>
    <col min="55" max="55" width="8.1640625" style="187" customWidth="1"/>
    <col min="56" max="56" width="0.6640625" style="187" customWidth="1"/>
    <col min="57" max="57" width="8" style="187" customWidth="1"/>
    <col min="58" max="58" width="0.6640625" style="187" customWidth="1"/>
    <col min="59" max="59" width="8.1640625" style="187" customWidth="1"/>
    <col min="60" max="60" width="0.6640625" style="187" customWidth="1"/>
    <col min="61" max="61" width="8.1640625" style="187" customWidth="1"/>
    <col min="62" max="62" width="0.6640625" style="187" customWidth="1"/>
    <col min="63" max="63" width="8.1640625" style="187" customWidth="1"/>
    <col min="64" max="64" width="0.6640625" style="187" customWidth="1"/>
    <col min="65" max="65" width="8" style="187" customWidth="1"/>
    <col min="66" max="66" width="0.6640625" style="187" customWidth="1"/>
    <col min="67" max="67" width="8" style="187" customWidth="1"/>
    <col min="68" max="68" width="0.6640625" style="187" customWidth="1"/>
    <col min="69" max="69" width="7.5" style="187" customWidth="1"/>
    <col min="70" max="70" width="0.6640625" style="187" customWidth="1"/>
    <col min="71" max="71" width="7.83203125" style="187" customWidth="1"/>
    <col min="72" max="72" width="0.6640625" style="187" customWidth="1"/>
    <col min="73" max="73" width="8" style="187" customWidth="1"/>
    <col min="74" max="74" width="0.6640625" style="187" customWidth="1"/>
    <col min="75" max="75" width="7.1640625" style="187" customWidth="1"/>
    <col min="76" max="76" width="0.6640625" style="187" customWidth="1"/>
    <col min="77" max="77" width="7.33203125" style="187" customWidth="1"/>
    <col min="78" max="78" width="0.6640625" style="187" customWidth="1"/>
    <col min="79" max="79" width="6.6640625" style="187" customWidth="1"/>
    <col min="80" max="80" width="0.6640625" style="187" customWidth="1"/>
    <col min="81" max="81" width="7.33203125" style="187" customWidth="1"/>
    <col min="82" max="82" width="0.6640625" style="187" customWidth="1"/>
    <col min="83" max="83" width="6.83203125" style="187" customWidth="1"/>
    <col min="84" max="84" width="0.6640625" style="187" customWidth="1"/>
    <col min="85" max="85" width="7.5" style="187" customWidth="1"/>
    <col min="86" max="86" width="0.6640625" style="187" customWidth="1"/>
    <col min="87" max="87" width="6.83203125" style="187" customWidth="1"/>
    <col min="88" max="88" width="0.6640625" style="187" customWidth="1"/>
    <col min="89" max="89" width="7.33203125" style="187" customWidth="1"/>
    <col min="90" max="90" width="0.6640625" style="187" customWidth="1"/>
    <col min="91" max="91" width="7.5" style="187" customWidth="1"/>
    <col min="92" max="92" width="0.6640625" style="187" customWidth="1"/>
    <col min="93" max="93" width="9.33203125" style="187"/>
    <col min="94" max="94" width="0.6640625" style="187" customWidth="1"/>
    <col min="95" max="95" width="9.33203125" style="187"/>
    <col min="96" max="96" width="0.6640625" style="187" customWidth="1"/>
    <col min="97" max="97" width="9.33203125" style="187"/>
    <col min="98" max="98" width="0.6640625" style="187" customWidth="1"/>
    <col min="99" max="16384" width="9.33203125" style="189"/>
  </cols>
  <sheetData>
    <row r="1" spans="1:99" s="424" customFormat="1" ht="15.75" customHeight="1" x14ac:dyDescent="0.25">
      <c r="A1" s="423"/>
      <c r="B1" s="176">
        <v>0</v>
      </c>
      <c r="C1" s="177" t="s">
        <v>171</v>
      </c>
      <c r="D1" s="177"/>
      <c r="E1" s="321"/>
      <c r="F1" s="321"/>
      <c r="G1" s="321"/>
      <c r="H1" s="322"/>
      <c r="I1" s="323"/>
      <c r="J1" s="323"/>
      <c r="K1" s="323"/>
      <c r="L1" s="323"/>
      <c r="M1" s="323"/>
      <c r="N1" s="323"/>
      <c r="O1" s="323"/>
      <c r="P1" s="324"/>
      <c r="Q1" s="323"/>
      <c r="R1" s="324"/>
      <c r="S1" s="323"/>
      <c r="T1" s="324"/>
      <c r="U1" s="323"/>
      <c r="V1" s="324"/>
      <c r="W1" s="323"/>
      <c r="X1" s="322"/>
      <c r="Y1" s="323"/>
      <c r="Z1" s="322"/>
      <c r="AA1" s="323"/>
      <c r="AB1" s="322"/>
      <c r="AC1" s="323"/>
      <c r="AD1" s="322"/>
      <c r="AE1" s="323"/>
      <c r="AF1" s="322"/>
      <c r="AG1" s="323"/>
      <c r="AH1" s="322"/>
      <c r="AI1" s="323"/>
      <c r="AJ1" s="324"/>
      <c r="AK1" s="323"/>
      <c r="AL1" s="322"/>
      <c r="AM1" s="323"/>
      <c r="AN1" s="322"/>
      <c r="AO1" s="323"/>
      <c r="AP1" s="323"/>
      <c r="AQ1" s="323"/>
      <c r="AR1" s="323"/>
      <c r="AS1" s="323"/>
      <c r="AT1" s="322"/>
      <c r="AU1" s="323"/>
      <c r="AV1" s="322"/>
      <c r="AW1" s="323"/>
      <c r="AX1" s="481"/>
      <c r="AY1" s="626"/>
      <c r="AZ1" s="188" t="s">
        <v>470</v>
      </c>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26"/>
    </row>
    <row r="2" spans="1:99" ht="6" customHeight="1" x14ac:dyDescent="0.2">
      <c r="E2" s="325"/>
      <c r="F2" s="325"/>
      <c r="G2" s="325"/>
      <c r="H2" s="329"/>
      <c r="AE2" s="334"/>
      <c r="AF2" s="329"/>
      <c r="AG2" s="334"/>
      <c r="AH2" s="329"/>
      <c r="AI2" s="334"/>
      <c r="AJ2" s="410"/>
      <c r="AK2" s="334"/>
      <c r="AL2" s="329"/>
      <c r="AM2" s="334"/>
      <c r="AN2" s="329"/>
      <c r="AO2" s="334"/>
      <c r="AP2" s="334"/>
      <c r="AQ2" s="334"/>
      <c r="AR2" s="334"/>
      <c r="AS2" s="334"/>
      <c r="AT2" s="329"/>
      <c r="AV2" s="329"/>
    </row>
    <row r="3" spans="1:99" s="346" customFormat="1" ht="17.25" customHeight="1" x14ac:dyDescent="0.25">
      <c r="A3" s="275"/>
      <c r="B3" s="275">
        <v>504</v>
      </c>
      <c r="C3" s="330" t="s">
        <v>323</v>
      </c>
      <c r="D3" s="25" t="s">
        <v>102</v>
      </c>
      <c r="E3" s="412"/>
      <c r="F3" s="413"/>
      <c r="G3" s="414"/>
      <c r="H3" s="415"/>
      <c r="I3" s="416"/>
      <c r="J3" s="416"/>
      <c r="K3" s="416"/>
      <c r="L3" s="416"/>
      <c r="M3" s="416"/>
      <c r="N3" s="416"/>
      <c r="O3" s="416"/>
      <c r="P3" s="415"/>
      <c r="Q3" s="416"/>
      <c r="R3" s="415"/>
      <c r="S3" s="416"/>
      <c r="T3" s="415"/>
      <c r="U3" s="416"/>
      <c r="V3" s="415"/>
      <c r="W3" s="414"/>
      <c r="X3" s="415"/>
      <c r="Y3" s="417"/>
      <c r="Z3" s="105"/>
      <c r="AA3" s="417"/>
      <c r="AB3" s="53"/>
      <c r="AC3" s="330" t="s">
        <v>297</v>
      </c>
      <c r="AD3" s="332"/>
      <c r="AE3" s="331"/>
      <c r="AF3" s="332"/>
      <c r="AG3" s="333"/>
      <c r="AH3" s="332"/>
      <c r="AI3" s="331"/>
      <c r="AJ3" s="671" t="s">
        <v>638</v>
      </c>
      <c r="AK3" s="670"/>
      <c r="AL3" s="670"/>
      <c r="AM3" s="670"/>
      <c r="AN3" s="415"/>
      <c r="AO3" s="415"/>
      <c r="AP3" s="670"/>
      <c r="AQ3" s="418"/>
      <c r="AR3" s="418"/>
      <c r="AS3" s="418"/>
      <c r="AT3" s="419"/>
      <c r="AU3" s="419"/>
      <c r="AV3" s="419"/>
      <c r="AW3" s="419"/>
      <c r="AX3" s="419"/>
      <c r="AY3" s="336"/>
      <c r="AZ3" s="337" t="s">
        <v>444</v>
      </c>
      <c r="BA3" s="426"/>
      <c r="BB3" s="344"/>
      <c r="BC3" s="427"/>
      <c r="BD3" s="427"/>
      <c r="BE3" s="482"/>
      <c r="BF3" s="482"/>
      <c r="BG3" s="482"/>
      <c r="BH3" s="482"/>
      <c r="BI3" s="428"/>
      <c r="BJ3" s="428"/>
      <c r="BK3" s="428"/>
      <c r="BL3" s="428"/>
      <c r="BM3" s="482"/>
      <c r="BN3" s="482"/>
      <c r="BO3" s="428"/>
      <c r="BP3" s="428"/>
      <c r="BQ3" s="428"/>
      <c r="BR3" s="428"/>
      <c r="BS3" s="428"/>
      <c r="BT3" s="428"/>
      <c r="BU3" s="429"/>
      <c r="BV3" s="429"/>
      <c r="BW3" s="344"/>
      <c r="BX3" s="344"/>
      <c r="BY3" s="344"/>
      <c r="BZ3" s="344"/>
      <c r="CA3" s="344"/>
      <c r="CB3" s="344"/>
      <c r="CC3" s="429"/>
      <c r="CD3" s="429"/>
      <c r="CE3" s="344"/>
      <c r="CF3" s="344"/>
      <c r="CG3" s="344"/>
      <c r="CH3" s="344"/>
      <c r="CI3" s="344"/>
      <c r="CJ3" s="344"/>
      <c r="CK3" s="344"/>
      <c r="CL3" s="344"/>
      <c r="CM3" s="344"/>
      <c r="CN3" s="344"/>
      <c r="CO3" s="344"/>
      <c r="CP3" s="344"/>
      <c r="CQ3" s="426"/>
      <c r="CR3" s="426"/>
      <c r="CS3" s="426"/>
      <c r="CT3" s="426"/>
    </row>
    <row r="4" spans="1:99" ht="6" customHeight="1" x14ac:dyDescent="0.25">
      <c r="C4" s="647"/>
      <c r="D4" s="647"/>
      <c r="E4" s="385"/>
      <c r="F4" s="385"/>
      <c r="G4" s="385"/>
      <c r="H4" s="334"/>
      <c r="I4" s="334"/>
      <c r="J4" s="334"/>
      <c r="K4" s="334"/>
      <c r="L4" s="334"/>
      <c r="M4" s="334"/>
      <c r="N4" s="334"/>
      <c r="O4" s="334"/>
      <c r="P4" s="410"/>
      <c r="Q4" s="334"/>
      <c r="R4" s="410"/>
      <c r="S4" s="334"/>
      <c r="T4" s="410"/>
      <c r="U4" s="334"/>
      <c r="V4" s="410"/>
      <c r="W4" s="334"/>
      <c r="X4" s="329"/>
      <c r="Y4" s="334"/>
      <c r="Z4" s="329"/>
      <c r="AA4" s="334"/>
      <c r="AB4" s="329"/>
      <c r="AC4" s="334"/>
      <c r="AE4" s="334"/>
      <c r="AF4" s="329"/>
      <c r="AG4" s="334"/>
      <c r="AH4" s="329"/>
      <c r="AI4" s="334"/>
      <c r="AJ4" s="410"/>
      <c r="AK4" s="334"/>
      <c r="AL4" s="329"/>
      <c r="AM4" s="334"/>
      <c r="AN4" s="483"/>
      <c r="AO4" s="334"/>
      <c r="AP4" s="334"/>
      <c r="AQ4" s="334"/>
      <c r="AR4" s="334"/>
      <c r="AS4" s="334"/>
      <c r="AT4" s="329"/>
      <c r="AV4" s="329"/>
      <c r="AZ4" s="313"/>
    </row>
    <row r="5" spans="1:99" s="424" customFormat="1" ht="18" customHeight="1" x14ac:dyDescent="0.25">
      <c r="A5" s="423"/>
      <c r="B5" s="176">
        <v>7</v>
      </c>
      <c r="C5" s="769" t="s">
        <v>190</v>
      </c>
      <c r="D5" s="769"/>
      <c r="E5" s="815"/>
      <c r="F5" s="815"/>
      <c r="G5" s="815"/>
      <c r="H5" s="815"/>
      <c r="I5" s="771"/>
      <c r="J5" s="771"/>
      <c r="K5" s="771"/>
      <c r="L5" s="771"/>
      <c r="M5" s="771"/>
      <c r="N5" s="771"/>
      <c r="O5" s="771"/>
      <c r="P5" s="771"/>
      <c r="Q5" s="771"/>
      <c r="R5" s="771"/>
      <c r="S5" s="771"/>
      <c r="T5" s="771"/>
      <c r="U5" s="771"/>
      <c r="V5" s="771"/>
      <c r="W5" s="771"/>
      <c r="X5" s="815"/>
      <c r="Y5" s="771"/>
      <c r="Z5" s="815"/>
      <c r="AA5" s="771"/>
      <c r="AB5" s="815"/>
      <c r="AC5" s="771"/>
      <c r="AD5" s="815"/>
      <c r="AE5" s="771"/>
      <c r="AF5" s="815"/>
      <c r="AG5" s="771"/>
      <c r="AH5" s="815"/>
      <c r="AI5" s="771"/>
      <c r="AJ5" s="771"/>
      <c r="AK5" s="771"/>
      <c r="AL5" s="815"/>
      <c r="AM5" s="771"/>
      <c r="AN5" s="815"/>
      <c r="AO5" s="348"/>
      <c r="AP5" s="348"/>
      <c r="AQ5" s="348"/>
      <c r="AR5" s="348"/>
      <c r="AS5" s="348"/>
      <c r="AT5" s="349"/>
      <c r="AU5" s="348"/>
      <c r="AV5" s="349"/>
      <c r="AW5" s="348"/>
      <c r="AX5" s="430"/>
      <c r="AY5" s="626"/>
      <c r="AZ5" s="350" t="s">
        <v>445</v>
      </c>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26"/>
    </row>
    <row r="6" spans="1:99" s="424" customFormat="1" ht="14.25" customHeight="1" x14ac:dyDescent="0.25">
      <c r="A6" s="423"/>
      <c r="B6" s="176"/>
      <c r="D6" s="620" t="s">
        <v>537</v>
      </c>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839" t="s">
        <v>520</v>
      </c>
      <c r="AJ6" s="817"/>
      <c r="AK6" s="817"/>
      <c r="AL6" s="817"/>
      <c r="AM6" s="817"/>
      <c r="AN6" s="817"/>
      <c r="AO6" s="817"/>
      <c r="AP6" s="817"/>
      <c r="AQ6" s="817"/>
      <c r="AR6" s="817"/>
      <c r="AS6" s="817"/>
      <c r="AT6" s="817"/>
      <c r="AU6" s="817"/>
      <c r="AV6" s="817"/>
      <c r="AW6" s="356"/>
      <c r="AX6" s="210"/>
      <c r="AY6" s="626"/>
      <c r="AZ6" s="357" t="s">
        <v>628</v>
      </c>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26"/>
    </row>
    <row r="7" spans="1:99" ht="22.5" customHeight="1" x14ac:dyDescent="0.2">
      <c r="B7" s="176">
        <v>2</v>
      </c>
      <c r="C7" s="218" t="s">
        <v>299</v>
      </c>
      <c r="D7" s="218" t="s">
        <v>300</v>
      </c>
      <c r="E7" s="218" t="s">
        <v>301</v>
      </c>
      <c r="F7" s="218">
        <v>1990</v>
      </c>
      <c r="G7" s="219"/>
      <c r="H7" s="218">
        <v>1995</v>
      </c>
      <c r="I7" s="219"/>
      <c r="J7" s="218">
        <v>1996</v>
      </c>
      <c r="K7" s="219"/>
      <c r="L7" s="218">
        <v>1997</v>
      </c>
      <c r="M7" s="219"/>
      <c r="N7" s="218">
        <v>1998</v>
      </c>
      <c r="O7" s="219"/>
      <c r="P7" s="218">
        <v>1999</v>
      </c>
      <c r="Q7" s="219"/>
      <c r="R7" s="218">
        <v>2000</v>
      </c>
      <c r="S7" s="219"/>
      <c r="T7" s="218">
        <v>2001</v>
      </c>
      <c r="U7" s="219"/>
      <c r="V7" s="218">
        <v>2002</v>
      </c>
      <c r="W7" s="219"/>
      <c r="X7" s="218">
        <v>2003</v>
      </c>
      <c r="Y7" s="219"/>
      <c r="Z7" s="218">
        <v>2004</v>
      </c>
      <c r="AA7" s="219"/>
      <c r="AB7" s="218">
        <v>2005</v>
      </c>
      <c r="AC7" s="219"/>
      <c r="AD7" s="218">
        <v>2006</v>
      </c>
      <c r="AE7" s="219"/>
      <c r="AF7" s="218">
        <v>2007</v>
      </c>
      <c r="AG7" s="219"/>
      <c r="AH7" s="218">
        <v>2008</v>
      </c>
      <c r="AI7" s="219"/>
      <c r="AJ7" s="218">
        <v>2009</v>
      </c>
      <c r="AK7" s="219"/>
      <c r="AL7" s="218">
        <v>2010</v>
      </c>
      <c r="AM7" s="219"/>
      <c r="AN7" s="218">
        <v>2011</v>
      </c>
      <c r="AO7" s="219"/>
      <c r="AP7" s="218">
        <v>2012</v>
      </c>
      <c r="AQ7" s="219"/>
      <c r="AR7" s="218">
        <v>2013</v>
      </c>
      <c r="AS7" s="219"/>
      <c r="AT7" s="218">
        <v>2014</v>
      </c>
      <c r="AU7" s="219"/>
      <c r="AV7" s="218">
        <v>2015</v>
      </c>
      <c r="AW7" s="219"/>
      <c r="AZ7" s="218" t="s">
        <v>600</v>
      </c>
      <c r="BA7" s="218" t="s">
        <v>601</v>
      </c>
      <c r="BB7" s="218" t="s">
        <v>603</v>
      </c>
      <c r="BC7" s="217">
        <v>1990</v>
      </c>
      <c r="BD7" s="217"/>
      <c r="BE7" s="218">
        <v>1995</v>
      </c>
      <c r="BF7" s="484"/>
      <c r="BG7" s="484">
        <v>1996</v>
      </c>
      <c r="BH7" s="484"/>
      <c r="BI7" s="218">
        <v>1997</v>
      </c>
      <c r="BJ7" s="218"/>
      <c r="BK7" s="218">
        <v>1998</v>
      </c>
      <c r="BL7" s="484"/>
      <c r="BM7" s="484">
        <v>1999</v>
      </c>
      <c r="BN7" s="484"/>
      <c r="BO7" s="218">
        <v>2000</v>
      </c>
      <c r="BP7" s="218"/>
      <c r="BQ7" s="218">
        <v>2001</v>
      </c>
      <c r="BR7" s="218"/>
      <c r="BS7" s="218">
        <v>2002</v>
      </c>
      <c r="BT7" s="218"/>
      <c r="BU7" s="218">
        <v>2003</v>
      </c>
      <c r="BV7" s="218"/>
      <c r="BW7" s="218">
        <v>2004</v>
      </c>
      <c r="BX7" s="218"/>
      <c r="BY7" s="218">
        <v>2005</v>
      </c>
      <c r="BZ7" s="218"/>
      <c r="CA7" s="218">
        <v>2006</v>
      </c>
      <c r="CB7" s="218"/>
      <c r="CC7" s="218">
        <v>2007</v>
      </c>
      <c r="CD7" s="218"/>
      <c r="CE7" s="218">
        <v>2008</v>
      </c>
      <c r="CF7" s="218"/>
      <c r="CG7" s="218">
        <v>2009</v>
      </c>
      <c r="CH7" s="218"/>
      <c r="CI7" s="218">
        <v>2010</v>
      </c>
      <c r="CJ7" s="218"/>
      <c r="CK7" s="218">
        <v>2011</v>
      </c>
      <c r="CL7" s="218"/>
      <c r="CM7" s="218">
        <v>2012</v>
      </c>
      <c r="CN7" s="218"/>
      <c r="CO7" s="218">
        <v>2013</v>
      </c>
      <c r="CP7" s="218"/>
      <c r="CQ7" s="218">
        <v>2014</v>
      </c>
      <c r="CR7" s="218"/>
      <c r="CS7" s="218">
        <v>2015</v>
      </c>
      <c r="CT7" s="219"/>
    </row>
    <row r="8" spans="1:99" ht="21.75" customHeight="1" x14ac:dyDescent="0.2">
      <c r="B8" s="224">
        <v>84</v>
      </c>
      <c r="C8" s="375">
        <v>1</v>
      </c>
      <c r="D8" s="485" t="s">
        <v>513</v>
      </c>
      <c r="E8" s="242" t="s">
        <v>315</v>
      </c>
      <c r="F8" s="582"/>
      <c r="G8" s="593"/>
      <c r="H8" s="582"/>
      <c r="I8" s="593"/>
      <c r="J8" s="582"/>
      <c r="K8" s="593"/>
      <c r="L8" s="582"/>
      <c r="M8" s="593"/>
      <c r="N8" s="582"/>
      <c r="O8" s="593"/>
      <c r="P8" s="582"/>
      <c r="Q8" s="593"/>
      <c r="R8" s="582"/>
      <c r="S8" s="593"/>
      <c r="T8" s="582"/>
      <c r="U8" s="593"/>
      <c r="V8" s="582"/>
      <c r="W8" s="593"/>
      <c r="X8" s="582"/>
      <c r="Y8" s="593"/>
      <c r="Z8" s="582"/>
      <c r="AA8" s="593"/>
      <c r="AB8" s="582"/>
      <c r="AC8" s="593"/>
      <c r="AD8" s="582"/>
      <c r="AE8" s="593"/>
      <c r="AF8" s="582"/>
      <c r="AG8" s="593"/>
      <c r="AH8" s="582"/>
      <c r="AI8" s="593"/>
      <c r="AJ8" s="582"/>
      <c r="AK8" s="593"/>
      <c r="AL8" s="582"/>
      <c r="AM8" s="593"/>
      <c r="AN8" s="582"/>
      <c r="AO8" s="593"/>
      <c r="AP8" s="582"/>
      <c r="AQ8" s="593"/>
      <c r="AR8" s="582"/>
      <c r="AS8" s="593"/>
      <c r="AT8" s="582"/>
      <c r="AU8" s="593"/>
      <c r="AV8" s="582">
        <v>2054.8000000000002</v>
      </c>
      <c r="AW8" s="593" t="s">
        <v>634</v>
      </c>
      <c r="AZ8" s="366">
        <v>1</v>
      </c>
      <c r="BA8" s="486" t="s">
        <v>474</v>
      </c>
      <c r="BB8" s="80" t="s">
        <v>632</v>
      </c>
      <c r="BC8" s="487" t="s">
        <v>471</v>
      </c>
      <c r="BD8" s="114"/>
      <c r="BE8" s="95" t="str">
        <f t="shared" ref="BE8:BE24" si="0">IF(OR(ISBLANK(F8),ISBLANK(H8)),"N/A",IF(ABS((H8-F8)/F8)&gt;1,"&gt; 100%","ok"))</f>
        <v>N/A</v>
      </c>
      <c r="BF8" s="95"/>
      <c r="BG8" s="95" t="str">
        <f t="shared" ref="BG8:BG24" si="1">IF(OR(ISBLANK(H8),ISBLANK(J8)),"N/A",IF(ABS((J8-H8)/H8)&gt;0.25,"&gt; 25%","ok"))</f>
        <v>N/A</v>
      </c>
      <c r="BH8" s="95"/>
      <c r="BI8" s="95" t="str">
        <f t="shared" ref="BI8:BI24" si="2">IF(OR(ISBLANK(J8),ISBLANK(L8)),"N/A",IF(ABS((L8-J8)/J8)&gt;0.25,"&gt; 25%","ok"))</f>
        <v>N/A</v>
      </c>
      <c r="BJ8" s="95"/>
      <c r="BK8" s="95" t="str">
        <f t="shared" ref="BK8:BK24" si="3">IF(OR(ISBLANK(L8),ISBLANK(N8)),"N/A",IF(ABS((N8-L8)/L8)&gt;0.25,"&gt; 25%","ok"))</f>
        <v>N/A</v>
      </c>
      <c r="BL8" s="95"/>
      <c r="BM8" s="95" t="str">
        <f t="shared" ref="BM8:BM24" si="4">IF(OR(ISBLANK(N8),ISBLANK(P8)),"N/A",IF(ABS((P8-N8)/N8)&gt;0.25,"&gt; 25%","ok"))</f>
        <v>N/A</v>
      </c>
      <c r="BN8" s="95"/>
      <c r="BO8" s="95" t="str">
        <f t="shared" ref="BO8:BO24" si="5">IF(OR(ISBLANK(P8),ISBLANK(R8)),"N/A",IF(ABS((R8-P8)/P8)&gt;0.25,"&gt; 25%","ok"))</f>
        <v>N/A</v>
      </c>
      <c r="BP8" s="95"/>
      <c r="BQ8" s="95" t="str">
        <f t="shared" ref="BQ8:BQ24" si="6">IF(OR(ISBLANK(R8),ISBLANK(T8)),"N/A",IF(ABS((T8-R8)/R8)&gt;0.25,"&gt; 25%","ok"))</f>
        <v>N/A</v>
      </c>
      <c r="BR8" s="95"/>
      <c r="BS8" s="95" t="str">
        <f t="shared" ref="BS8:BS24" si="7">IF(OR(ISBLANK(T8),ISBLANK(V8)),"N/A",IF(ABS((V8-T8)/T8)&gt;0.25,"&gt; 25%","ok"))</f>
        <v>N/A</v>
      </c>
      <c r="BT8" s="95"/>
      <c r="BU8" s="95" t="str">
        <f t="shared" ref="BU8:BU24" si="8">IF(OR(ISBLANK(V8),ISBLANK(X8)),"N/A",IF(ABS((X8-V8)/V8)&gt;0.25,"&gt; 25%","ok"))</f>
        <v>N/A</v>
      </c>
      <c r="BV8" s="95"/>
      <c r="BW8" s="95" t="str">
        <f t="shared" ref="BW8:BW24" si="9">IF(OR(ISBLANK(X8),ISBLANK(Z8)),"N/A",IF(ABS((Z8-X8)/X8)&gt;0.25,"&gt; 25%","ok"))</f>
        <v>N/A</v>
      </c>
      <c r="BX8" s="95"/>
      <c r="BY8" s="95" t="str">
        <f t="shared" ref="BY8:BY24" si="10">IF(OR(ISBLANK(Z8),ISBLANK(AB8)),"N/A",IF(ABS((AB8-Z8)/Z8)&gt;0.25,"&gt; 25%","ok"))</f>
        <v>N/A</v>
      </c>
      <c r="BZ8" s="95"/>
      <c r="CA8" s="95" t="str">
        <f t="shared" ref="CA8:CA24" si="11">IF(OR(ISBLANK(AB8),ISBLANK(AD8)),"N/A",IF(ABS((AD8-AB8)/AB8)&gt;0.25,"&gt; 25%","ok"))</f>
        <v>N/A</v>
      </c>
      <c r="CB8" s="95"/>
      <c r="CC8" s="95" t="str">
        <f t="shared" ref="CC8:CC24" si="12">IF(OR(ISBLANK(AD8),ISBLANK(AF8)),"N/A",IF(ABS((AF8-AD8)/AD8)&gt;0.25,"&gt; 25%","ok"))</f>
        <v>N/A</v>
      </c>
      <c r="CD8" s="95"/>
      <c r="CE8" s="95" t="str">
        <f t="shared" ref="CE8:CE24" si="13">IF(OR(ISBLANK(AF8),ISBLANK(AH8)),"N/A",IF(ABS((AH8-AF8)/AF8)&gt;0.25,"&gt; 25%","ok"))</f>
        <v>N/A</v>
      </c>
      <c r="CF8" s="95"/>
      <c r="CG8" s="95" t="str">
        <f t="shared" ref="CG8:CG24" si="14">IF(OR(ISBLANK(AH8),ISBLANK(AJ8)),"N/A",IF(ABS((AJ8-AH8)/AH8)&gt;0.25,"&gt; 25%","ok"))</f>
        <v>N/A</v>
      </c>
      <c r="CH8" s="95"/>
      <c r="CI8" s="95" t="str">
        <f t="shared" ref="CI8:CI24" si="15">IF(OR(ISBLANK(AJ8),ISBLANK(AL8)),"N/A",IF(ABS((AL8-AJ8)/AJ8)&gt;0.25,"&gt; 25%","ok"))</f>
        <v>N/A</v>
      </c>
      <c r="CJ8" s="95"/>
      <c r="CK8" s="95" t="str">
        <f t="shared" ref="CK8:CK24" si="16">IF(OR(ISBLANK(AL8),ISBLANK(AN8)),"N/A",IF(ABS((AN8-AL8)/AL8)&gt;0.25,"&gt; 25%","ok"))</f>
        <v>N/A</v>
      </c>
      <c r="CL8" s="95"/>
      <c r="CM8" s="95" t="str">
        <f t="shared" ref="CM8:CM24" si="17">IF(OR(ISBLANK(AN8),ISBLANK(AP8)),"N/A",IF(ABS((AP8-AN8)/AN8)&gt;0.25,"&gt; 25%","ok"))</f>
        <v>N/A</v>
      </c>
      <c r="CN8" s="95"/>
      <c r="CO8" s="95" t="str">
        <f t="shared" ref="CO8:CO24" si="18">IF(OR(ISBLANK(AP8),ISBLANK(AR8)),"N/A",IF(ABS((AR8-AP8)/AP8)&gt;0.25,"&gt; 25%","ok"))</f>
        <v>N/A</v>
      </c>
      <c r="CP8" s="95"/>
      <c r="CQ8" s="95" t="str">
        <f t="shared" ref="CQ8:CQ24" si="19">IF(OR(ISBLANK(AR8),ISBLANK(AT8)),"N/A",IF(ABS((AT8-AR8)/AR8)&gt;0.25,"&gt; 25%","ok"))</f>
        <v>N/A</v>
      </c>
      <c r="CR8" s="95"/>
      <c r="CS8" s="95" t="str">
        <f t="shared" ref="CS8:CS24" si="20">IF(OR(ISBLANK(AT8),ISBLANK(AV8)),"N/A",IF(ABS((AV8-AT8)/AT8)&gt;0.25,"&gt; 25%","ok"))</f>
        <v>N/A</v>
      </c>
      <c r="CT8" s="232"/>
    </row>
    <row r="9" spans="1:99" ht="33.75" customHeight="1" x14ac:dyDescent="0.2">
      <c r="B9" s="488">
        <v>85</v>
      </c>
      <c r="C9" s="242">
        <v>2</v>
      </c>
      <c r="D9" s="251" t="s">
        <v>356</v>
      </c>
      <c r="E9" s="242" t="s">
        <v>315</v>
      </c>
      <c r="F9" s="582"/>
      <c r="G9" s="593"/>
      <c r="H9" s="582"/>
      <c r="I9" s="593"/>
      <c r="J9" s="582"/>
      <c r="K9" s="593"/>
      <c r="L9" s="582"/>
      <c r="M9" s="593"/>
      <c r="N9" s="582"/>
      <c r="O9" s="593"/>
      <c r="P9" s="582"/>
      <c r="Q9" s="593"/>
      <c r="R9" s="582"/>
      <c r="S9" s="593"/>
      <c r="T9" s="582"/>
      <c r="U9" s="593"/>
      <c r="V9" s="582"/>
      <c r="W9" s="593"/>
      <c r="X9" s="582"/>
      <c r="Y9" s="593"/>
      <c r="Z9" s="582"/>
      <c r="AA9" s="593"/>
      <c r="AB9" s="582"/>
      <c r="AC9" s="593"/>
      <c r="AD9" s="582"/>
      <c r="AE9" s="593"/>
      <c r="AF9" s="582"/>
      <c r="AG9" s="593"/>
      <c r="AH9" s="582"/>
      <c r="AI9" s="593"/>
      <c r="AJ9" s="582"/>
      <c r="AK9" s="593"/>
      <c r="AL9" s="582"/>
      <c r="AM9" s="593"/>
      <c r="AN9" s="582"/>
      <c r="AO9" s="593"/>
      <c r="AP9" s="582"/>
      <c r="AQ9" s="593"/>
      <c r="AR9" s="582"/>
      <c r="AS9" s="593"/>
      <c r="AT9" s="582"/>
      <c r="AU9" s="593"/>
      <c r="AV9" s="582"/>
      <c r="AW9" s="593"/>
      <c r="AZ9" s="80">
        <v>2</v>
      </c>
      <c r="BA9" s="443" t="s">
        <v>553</v>
      </c>
      <c r="BB9" s="80" t="s">
        <v>632</v>
      </c>
      <c r="BC9" s="114" t="s">
        <v>471</v>
      </c>
      <c r="BD9" s="113"/>
      <c r="BE9" s="95" t="str">
        <f t="shared" si="0"/>
        <v>N/A</v>
      </c>
      <c r="BF9" s="112"/>
      <c r="BG9" s="95" t="str">
        <f t="shared" si="1"/>
        <v>N/A</v>
      </c>
      <c r="BH9" s="113"/>
      <c r="BI9" s="95" t="str">
        <f t="shared" si="2"/>
        <v>N/A</v>
      </c>
      <c r="BJ9" s="113"/>
      <c r="BK9" s="95" t="str">
        <f t="shared" si="3"/>
        <v>N/A</v>
      </c>
      <c r="BL9" s="113"/>
      <c r="BM9" s="95" t="str">
        <f t="shared" si="4"/>
        <v>N/A</v>
      </c>
      <c r="BN9" s="113"/>
      <c r="BO9" s="95" t="str">
        <f t="shared" si="5"/>
        <v>N/A</v>
      </c>
      <c r="BP9" s="113"/>
      <c r="BQ9" s="95" t="str">
        <f t="shared" si="6"/>
        <v>N/A</v>
      </c>
      <c r="BR9" s="112"/>
      <c r="BS9" s="95" t="str">
        <f t="shared" si="7"/>
        <v>N/A</v>
      </c>
      <c r="BT9" s="80"/>
      <c r="BU9" s="95" t="str">
        <f t="shared" si="8"/>
        <v>N/A</v>
      </c>
      <c r="BV9" s="114"/>
      <c r="BW9" s="95" t="str">
        <f t="shared" si="9"/>
        <v>N/A</v>
      </c>
      <c r="BX9" s="112"/>
      <c r="BY9" s="95" t="str">
        <f t="shared" si="10"/>
        <v>N/A</v>
      </c>
      <c r="BZ9" s="80"/>
      <c r="CA9" s="95" t="str">
        <f t="shared" si="11"/>
        <v>N/A</v>
      </c>
      <c r="CB9" s="113"/>
      <c r="CC9" s="95" t="str">
        <f t="shared" si="12"/>
        <v>N/A</v>
      </c>
      <c r="CD9" s="112"/>
      <c r="CE9" s="95" t="str">
        <f t="shared" si="13"/>
        <v>N/A</v>
      </c>
      <c r="CF9" s="114"/>
      <c r="CG9" s="95" t="str">
        <f t="shared" si="14"/>
        <v>N/A</v>
      </c>
      <c r="CH9" s="112"/>
      <c r="CI9" s="95" t="str">
        <f t="shared" si="15"/>
        <v>N/A</v>
      </c>
      <c r="CJ9" s="80"/>
      <c r="CK9" s="95" t="str">
        <f t="shared" si="16"/>
        <v>N/A</v>
      </c>
      <c r="CL9" s="80"/>
      <c r="CM9" s="95" t="str">
        <f t="shared" si="17"/>
        <v>N/A</v>
      </c>
      <c r="CN9" s="80"/>
      <c r="CO9" s="95" t="str">
        <f t="shared" si="18"/>
        <v>N/A</v>
      </c>
      <c r="CP9" s="114"/>
      <c r="CQ9" s="95" t="str">
        <f t="shared" si="19"/>
        <v>N/A</v>
      </c>
      <c r="CR9" s="80"/>
      <c r="CS9" s="95" t="str">
        <f t="shared" si="20"/>
        <v>N/A</v>
      </c>
      <c r="CT9" s="80"/>
      <c r="CU9" s="276"/>
    </row>
    <row r="10" spans="1:99" ht="26.1" customHeight="1" x14ac:dyDescent="0.2">
      <c r="B10" s="224">
        <v>155</v>
      </c>
      <c r="C10" s="242">
        <v>3</v>
      </c>
      <c r="D10" s="440" t="s">
        <v>348</v>
      </c>
      <c r="E10" s="242" t="s">
        <v>315</v>
      </c>
      <c r="F10" s="582"/>
      <c r="G10" s="593"/>
      <c r="H10" s="582"/>
      <c r="I10" s="593"/>
      <c r="J10" s="582"/>
      <c r="K10" s="593"/>
      <c r="L10" s="582"/>
      <c r="M10" s="593"/>
      <c r="N10" s="582"/>
      <c r="O10" s="593"/>
      <c r="P10" s="582"/>
      <c r="Q10" s="593"/>
      <c r="R10" s="582"/>
      <c r="S10" s="593"/>
      <c r="T10" s="582"/>
      <c r="U10" s="593"/>
      <c r="V10" s="582"/>
      <c r="W10" s="593"/>
      <c r="X10" s="582"/>
      <c r="Y10" s="593"/>
      <c r="Z10" s="582"/>
      <c r="AA10" s="593"/>
      <c r="AB10" s="582"/>
      <c r="AC10" s="593"/>
      <c r="AD10" s="582"/>
      <c r="AE10" s="593"/>
      <c r="AF10" s="582"/>
      <c r="AG10" s="593"/>
      <c r="AH10" s="582"/>
      <c r="AI10" s="593"/>
      <c r="AJ10" s="582"/>
      <c r="AK10" s="593"/>
      <c r="AL10" s="582"/>
      <c r="AM10" s="593"/>
      <c r="AN10" s="582"/>
      <c r="AO10" s="593"/>
      <c r="AP10" s="582"/>
      <c r="AQ10" s="593"/>
      <c r="AR10" s="582"/>
      <c r="AS10" s="593"/>
      <c r="AT10" s="582"/>
      <c r="AU10" s="593"/>
      <c r="AV10" s="582"/>
      <c r="AW10" s="593"/>
      <c r="AZ10" s="80">
        <v>3</v>
      </c>
      <c r="BA10" s="443" t="s">
        <v>401</v>
      </c>
      <c r="BB10" s="80" t="s">
        <v>632</v>
      </c>
      <c r="BC10" s="114" t="s">
        <v>471</v>
      </c>
      <c r="BD10" s="113"/>
      <c r="BE10" s="95" t="str">
        <f t="shared" si="0"/>
        <v>N/A</v>
      </c>
      <c r="BF10" s="112"/>
      <c r="BG10" s="95" t="str">
        <f t="shared" si="1"/>
        <v>N/A</v>
      </c>
      <c r="BH10" s="113"/>
      <c r="BI10" s="95" t="str">
        <f t="shared" si="2"/>
        <v>N/A</v>
      </c>
      <c r="BJ10" s="113"/>
      <c r="BK10" s="95" t="str">
        <f t="shared" si="3"/>
        <v>N/A</v>
      </c>
      <c r="BL10" s="113"/>
      <c r="BM10" s="95" t="str">
        <f t="shared" si="4"/>
        <v>N/A</v>
      </c>
      <c r="BN10" s="113"/>
      <c r="BO10" s="95" t="str">
        <f t="shared" si="5"/>
        <v>N/A</v>
      </c>
      <c r="BP10" s="113"/>
      <c r="BQ10" s="95" t="str">
        <f t="shared" si="6"/>
        <v>N/A</v>
      </c>
      <c r="BR10" s="112"/>
      <c r="BS10" s="95" t="str">
        <f t="shared" si="7"/>
        <v>N/A</v>
      </c>
      <c r="BT10" s="80"/>
      <c r="BU10" s="95" t="str">
        <f t="shared" si="8"/>
        <v>N/A</v>
      </c>
      <c r="BV10" s="114"/>
      <c r="BW10" s="95" t="str">
        <f t="shared" si="9"/>
        <v>N/A</v>
      </c>
      <c r="BX10" s="112"/>
      <c r="BY10" s="95" t="str">
        <f t="shared" si="10"/>
        <v>N/A</v>
      </c>
      <c r="BZ10" s="80"/>
      <c r="CA10" s="95" t="str">
        <f t="shared" si="11"/>
        <v>N/A</v>
      </c>
      <c r="CB10" s="113"/>
      <c r="CC10" s="95" t="str">
        <f t="shared" si="12"/>
        <v>N/A</v>
      </c>
      <c r="CD10" s="112"/>
      <c r="CE10" s="95" t="str">
        <f t="shared" si="13"/>
        <v>N/A</v>
      </c>
      <c r="CF10" s="114"/>
      <c r="CG10" s="95" t="str">
        <f t="shared" si="14"/>
        <v>N/A</v>
      </c>
      <c r="CH10" s="112"/>
      <c r="CI10" s="95" t="str">
        <f t="shared" si="15"/>
        <v>N/A</v>
      </c>
      <c r="CJ10" s="80"/>
      <c r="CK10" s="95" t="str">
        <f t="shared" si="16"/>
        <v>N/A</v>
      </c>
      <c r="CL10" s="80"/>
      <c r="CM10" s="95" t="str">
        <f t="shared" si="17"/>
        <v>N/A</v>
      </c>
      <c r="CN10" s="80"/>
      <c r="CO10" s="95" t="str">
        <f t="shared" si="18"/>
        <v>N/A</v>
      </c>
      <c r="CP10" s="114"/>
      <c r="CQ10" s="95" t="str">
        <f t="shared" si="19"/>
        <v>N/A</v>
      </c>
      <c r="CR10" s="80"/>
      <c r="CS10" s="95" t="str">
        <f t="shared" si="20"/>
        <v>N/A</v>
      </c>
      <c r="CT10" s="80"/>
      <c r="CU10" s="276"/>
    </row>
    <row r="11" spans="1:99" ht="21" customHeight="1" x14ac:dyDescent="0.2">
      <c r="B11" s="224">
        <v>156</v>
      </c>
      <c r="C11" s="242">
        <v>4</v>
      </c>
      <c r="D11" s="440" t="s">
        <v>328</v>
      </c>
      <c r="E11" s="242" t="s">
        <v>315</v>
      </c>
      <c r="F11" s="582"/>
      <c r="G11" s="593"/>
      <c r="H11" s="582"/>
      <c r="I11" s="593"/>
      <c r="J11" s="582"/>
      <c r="K11" s="593"/>
      <c r="L11" s="582"/>
      <c r="M11" s="593"/>
      <c r="N11" s="582"/>
      <c r="O11" s="593"/>
      <c r="P11" s="582"/>
      <c r="Q11" s="593"/>
      <c r="R11" s="582"/>
      <c r="S11" s="593"/>
      <c r="T11" s="582"/>
      <c r="U11" s="593"/>
      <c r="V11" s="582"/>
      <c r="W11" s="593"/>
      <c r="X11" s="582"/>
      <c r="Y11" s="593"/>
      <c r="Z11" s="582"/>
      <c r="AA11" s="593"/>
      <c r="AB11" s="582"/>
      <c r="AC11" s="593"/>
      <c r="AD11" s="582"/>
      <c r="AE11" s="593"/>
      <c r="AF11" s="582"/>
      <c r="AG11" s="593"/>
      <c r="AH11" s="582"/>
      <c r="AI11" s="593"/>
      <c r="AJ11" s="582"/>
      <c r="AK11" s="593"/>
      <c r="AL11" s="582"/>
      <c r="AM11" s="593"/>
      <c r="AN11" s="582"/>
      <c r="AO11" s="593"/>
      <c r="AP11" s="582"/>
      <c r="AQ11" s="593"/>
      <c r="AR11" s="582"/>
      <c r="AS11" s="593"/>
      <c r="AT11" s="582"/>
      <c r="AU11" s="593"/>
      <c r="AV11" s="582"/>
      <c r="AW11" s="593"/>
      <c r="AZ11" s="80">
        <v>4</v>
      </c>
      <c r="BA11" s="443" t="s">
        <v>493</v>
      </c>
      <c r="BB11" s="80" t="s">
        <v>632</v>
      </c>
      <c r="BC11" s="114" t="s">
        <v>471</v>
      </c>
      <c r="BD11" s="113"/>
      <c r="BE11" s="95" t="str">
        <f t="shared" si="0"/>
        <v>N/A</v>
      </c>
      <c r="BF11" s="112"/>
      <c r="BG11" s="95" t="str">
        <f t="shared" si="1"/>
        <v>N/A</v>
      </c>
      <c r="BH11" s="113"/>
      <c r="BI11" s="95" t="str">
        <f t="shared" si="2"/>
        <v>N/A</v>
      </c>
      <c r="BJ11" s="113"/>
      <c r="BK11" s="95" t="str">
        <f t="shared" si="3"/>
        <v>N/A</v>
      </c>
      <c r="BL11" s="113"/>
      <c r="BM11" s="95" t="str">
        <f t="shared" si="4"/>
        <v>N/A</v>
      </c>
      <c r="BN11" s="113"/>
      <c r="BO11" s="95" t="str">
        <f t="shared" si="5"/>
        <v>N/A</v>
      </c>
      <c r="BP11" s="113"/>
      <c r="BQ11" s="95" t="str">
        <f t="shared" si="6"/>
        <v>N/A</v>
      </c>
      <c r="BR11" s="112"/>
      <c r="BS11" s="95" t="str">
        <f t="shared" si="7"/>
        <v>N/A</v>
      </c>
      <c r="BT11" s="80"/>
      <c r="BU11" s="95" t="str">
        <f t="shared" si="8"/>
        <v>N/A</v>
      </c>
      <c r="BV11" s="114"/>
      <c r="BW11" s="95" t="str">
        <f t="shared" si="9"/>
        <v>N/A</v>
      </c>
      <c r="BX11" s="112"/>
      <c r="BY11" s="95" t="str">
        <f t="shared" si="10"/>
        <v>N/A</v>
      </c>
      <c r="BZ11" s="80"/>
      <c r="CA11" s="95" t="str">
        <f t="shared" si="11"/>
        <v>N/A</v>
      </c>
      <c r="CB11" s="113"/>
      <c r="CC11" s="95" t="str">
        <f t="shared" si="12"/>
        <v>N/A</v>
      </c>
      <c r="CD11" s="112"/>
      <c r="CE11" s="95" t="str">
        <f t="shared" si="13"/>
        <v>N/A</v>
      </c>
      <c r="CF11" s="114"/>
      <c r="CG11" s="95" t="str">
        <f t="shared" si="14"/>
        <v>N/A</v>
      </c>
      <c r="CH11" s="112"/>
      <c r="CI11" s="95" t="str">
        <f t="shared" si="15"/>
        <v>N/A</v>
      </c>
      <c r="CJ11" s="80"/>
      <c r="CK11" s="95" t="str">
        <f t="shared" si="16"/>
        <v>N/A</v>
      </c>
      <c r="CL11" s="80"/>
      <c r="CM11" s="95" t="str">
        <f t="shared" si="17"/>
        <v>N/A</v>
      </c>
      <c r="CN11" s="80"/>
      <c r="CO11" s="95" t="str">
        <f t="shared" si="18"/>
        <v>N/A</v>
      </c>
      <c r="CP11" s="114"/>
      <c r="CQ11" s="95" t="str">
        <f t="shared" si="19"/>
        <v>N/A</v>
      </c>
      <c r="CR11" s="80"/>
      <c r="CS11" s="95" t="str">
        <f t="shared" si="20"/>
        <v>N/A</v>
      </c>
      <c r="CT11" s="80"/>
      <c r="CU11" s="276"/>
    </row>
    <row r="12" spans="1:99" ht="18" customHeight="1" x14ac:dyDescent="0.2">
      <c r="B12" s="224">
        <v>158</v>
      </c>
      <c r="C12" s="242">
        <v>5</v>
      </c>
      <c r="D12" s="440" t="s">
        <v>310</v>
      </c>
      <c r="E12" s="242" t="s">
        <v>315</v>
      </c>
      <c r="F12" s="582"/>
      <c r="G12" s="593"/>
      <c r="H12" s="582"/>
      <c r="I12" s="593"/>
      <c r="J12" s="582"/>
      <c r="K12" s="593"/>
      <c r="L12" s="582"/>
      <c r="M12" s="593"/>
      <c r="N12" s="582"/>
      <c r="O12" s="593"/>
      <c r="P12" s="582"/>
      <c r="Q12" s="593"/>
      <c r="R12" s="582"/>
      <c r="S12" s="593"/>
      <c r="T12" s="582"/>
      <c r="U12" s="593"/>
      <c r="V12" s="582"/>
      <c r="W12" s="593"/>
      <c r="X12" s="582"/>
      <c r="Y12" s="593"/>
      <c r="Z12" s="582"/>
      <c r="AA12" s="593"/>
      <c r="AB12" s="582"/>
      <c r="AC12" s="593"/>
      <c r="AD12" s="582"/>
      <c r="AE12" s="593"/>
      <c r="AF12" s="582"/>
      <c r="AG12" s="593"/>
      <c r="AH12" s="582"/>
      <c r="AI12" s="593"/>
      <c r="AJ12" s="582"/>
      <c r="AK12" s="593"/>
      <c r="AL12" s="582"/>
      <c r="AM12" s="593"/>
      <c r="AN12" s="582"/>
      <c r="AO12" s="593"/>
      <c r="AP12" s="582"/>
      <c r="AQ12" s="593"/>
      <c r="AR12" s="582"/>
      <c r="AS12" s="593"/>
      <c r="AT12" s="582"/>
      <c r="AU12" s="593"/>
      <c r="AV12" s="582"/>
      <c r="AW12" s="593"/>
      <c r="AZ12" s="80">
        <v>5</v>
      </c>
      <c r="BA12" s="443" t="s">
        <v>5</v>
      </c>
      <c r="BB12" s="80" t="s">
        <v>632</v>
      </c>
      <c r="BC12" s="114" t="s">
        <v>471</v>
      </c>
      <c r="BD12" s="113"/>
      <c r="BE12" s="95" t="str">
        <f t="shared" si="0"/>
        <v>N/A</v>
      </c>
      <c r="BF12" s="112"/>
      <c r="BG12" s="95" t="str">
        <f t="shared" si="1"/>
        <v>N/A</v>
      </c>
      <c r="BH12" s="113"/>
      <c r="BI12" s="95" t="str">
        <f t="shared" si="2"/>
        <v>N/A</v>
      </c>
      <c r="BJ12" s="113"/>
      <c r="BK12" s="95" t="str">
        <f t="shared" si="3"/>
        <v>N/A</v>
      </c>
      <c r="BL12" s="113"/>
      <c r="BM12" s="95" t="str">
        <f t="shared" si="4"/>
        <v>N/A</v>
      </c>
      <c r="BN12" s="113"/>
      <c r="BO12" s="95" t="str">
        <f t="shared" si="5"/>
        <v>N/A</v>
      </c>
      <c r="BP12" s="113"/>
      <c r="BQ12" s="95" t="str">
        <f t="shared" si="6"/>
        <v>N/A</v>
      </c>
      <c r="BR12" s="112"/>
      <c r="BS12" s="95" t="str">
        <f t="shared" si="7"/>
        <v>N/A</v>
      </c>
      <c r="BT12" s="80"/>
      <c r="BU12" s="95" t="str">
        <f t="shared" si="8"/>
        <v>N/A</v>
      </c>
      <c r="BV12" s="114"/>
      <c r="BW12" s="95" t="str">
        <f t="shared" si="9"/>
        <v>N/A</v>
      </c>
      <c r="BX12" s="112"/>
      <c r="BY12" s="95" t="str">
        <f t="shared" si="10"/>
        <v>N/A</v>
      </c>
      <c r="BZ12" s="80"/>
      <c r="CA12" s="95" t="str">
        <f t="shared" si="11"/>
        <v>N/A</v>
      </c>
      <c r="CB12" s="113"/>
      <c r="CC12" s="95" t="str">
        <f t="shared" si="12"/>
        <v>N/A</v>
      </c>
      <c r="CD12" s="112"/>
      <c r="CE12" s="95" t="str">
        <f t="shared" si="13"/>
        <v>N/A</v>
      </c>
      <c r="CF12" s="114"/>
      <c r="CG12" s="95" t="str">
        <f t="shared" si="14"/>
        <v>N/A</v>
      </c>
      <c r="CH12" s="112"/>
      <c r="CI12" s="95" t="str">
        <f t="shared" si="15"/>
        <v>N/A</v>
      </c>
      <c r="CJ12" s="80"/>
      <c r="CK12" s="95" t="str">
        <f t="shared" si="16"/>
        <v>N/A</v>
      </c>
      <c r="CL12" s="80"/>
      <c r="CM12" s="95" t="str">
        <f t="shared" si="17"/>
        <v>N/A</v>
      </c>
      <c r="CN12" s="80"/>
      <c r="CO12" s="95" t="str">
        <f t="shared" si="18"/>
        <v>N/A</v>
      </c>
      <c r="CP12" s="114"/>
      <c r="CQ12" s="95" t="str">
        <f t="shared" si="19"/>
        <v>N/A</v>
      </c>
      <c r="CR12" s="80"/>
      <c r="CS12" s="95" t="str">
        <f t="shared" si="20"/>
        <v>N/A</v>
      </c>
      <c r="CT12" s="80"/>
      <c r="CU12" s="276"/>
    </row>
    <row r="13" spans="1:99" ht="18" customHeight="1" x14ac:dyDescent="0.2">
      <c r="B13" s="224">
        <v>159</v>
      </c>
      <c r="C13" s="242">
        <v>6</v>
      </c>
      <c r="D13" s="440" t="s">
        <v>309</v>
      </c>
      <c r="E13" s="242" t="s">
        <v>315</v>
      </c>
      <c r="F13" s="582"/>
      <c r="G13" s="593"/>
      <c r="H13" s="582"/>
      <c r="I13" s="593"/>
      <c r="J13" s="582"/>
      <c r="K13" s="593"/>
      <c r="L13" s="582"/>
      <c r="M13" s="593"/>
      <c r="N13" s="582"/>
      <c r="O13" s="593"/>
      <c r="P13" s="582"/>
      <c r="Q13" s="593"/>
      <c r="R13" s="582"/>
      <c r="S13" s="593"/>
      <c r="T13" s="582"/>
      <c r="U13" s="593"/>
      <c r="V13" s="582"/>
      <c r="W13" s="593"/>
      <c r="X13" s="582"/>
      <c r="Y13" s="593"/>
      <c r="Z13" s="582"/>
      <c r="AA13" s="593"/>
      <c r="AB13" s="582"/>
      <c r="AC13" s="593"/>
      <c r="AD13" s="582"/>
      <c r="AE13" s="593"/>
      <c r="AF13" s="582"/>
      <c r="AG13" s="593"/>
      <c r="AH13" s="582"/>
      <c r="AI13" s="593"/>
      <c r="AJ13" s="582"/>
      <c r="AK13" s="593"/>
      <c r="AL13" s="582">
        <v>1291.23</v>
      </c>
      <c r="AM13" s="593" t="s">
        <v>634</v>
      </c>
      <c r="AN13" s="582">
        <v>1328.34</v>
      </c>
      <c r="AO13" s="593" t="s">
        <v>634</v>
      </c>
      <c r="AP13" s="582">
        <v>1388.12</v>
      </c>
      <c r="AQ13" s="593" t="s">
        <v>634</v>
      </c>
      <c r="AR13" s="582">
        <v>1429.9</v>
      </c>
      <c r="AS13" s="593" t="s">
        <v>634</v>
      </c>
      <c r="AT13" s="582">
        <v>1471.68</v>
      </c>
      <c r="AU13" s="593" t="s">
        <v>634</v>
      </c>
      <c r="AV13" s="582">
        <v>1513.46</v>
      </c>
      <c r="AW13" s="593" t="s">
        <v>634</v>
      </c>
      <c r="AZ13" s="80">
        <v>6</v>
      </c>
      <c r="BA13" s="443" t="s">
        <v>4</v>
      </c>
      <c r="BB13" s="80" t="s">
        <v>632</v>
      </c>
      <c r="BC13" s="114" t="s">
        <v>471</v>
      </c>
      <c r="BD13" s="113"/>
      <c r="BE13" s="95" t="str">
        <f t="shared" si="0"/>
        <v>N/A</v>
      </c>
      <c r="BF13" s="112"/>
      <c r="BG13" s="95" t="str">
        <f t="shared" si="1"/>
        <v>N/A</v>
      </c>
      <c r="BH13" s="113"/>
      <c r="BI13" s="95" t="str">
        <f t="shared" si="2"/>
        <v>N/A</v>
      </c>
      <c r="BJ13" s="113"/>
      <c r="BK13" s="95" t="str">
        <f t="shared" si="3"/>
        <v>N/A</v>
      </c>
      <c r="BL13" s="113"/>
      <c r="BM13" s="95" t="str">
        <f t="shared" si="4"/>
        <v>N/A</v>
      </c>
      <c r="BN13" s="113"/>
      <c r="BO13" s="95" t="str">
        <f t="shared" si="5"/>
        <v>N/A</v>
      </c>
      <c r="BP13" s="113"/>
      <c r="BQ13" s="95" t="str">
        <f t="shared" si="6"/>
        <v>N/A</v>
      </c>
      <c r="BR13" s="112"/>
      <c r="BS13" s="95" t="str">
        <f t="shared" si="7"/>
        <v>N/A</v>
      </c>
      <c r="BT13" s="80"/>
      <c r="BU13" s="95" t="str">
        <f t="shared" si="8"/>
        <v>N/A</v>
      </c>
      <c r="BV13" s="112"/>
      <c r="BW13" s="95" t="str">
        <f t="shared" si="9"/>
        <v>N/A</v>
      </c>
      <c r="BX13" s="80"/>
      <c r="BY13" s="95" t="str">
        <f t="shared" si="10"/>
        <v>N/A</v>
      </c>
      <c r="BZ13" s="113"/>
      <c r="CA13" s="95" t="str">
        <f t="shared" si="11"/>
        <v>N/A</v>
      </c>
      <c r="CB13" s="112"/>
      <c r="CC13" s="95" t="str">
        <f t="shared" si="12"/>
        <v>N/A</v>
      </c>
      <c r="CD13" s="80"/>
      <c r="CE13" s="95" t="str">
        <f t="shared" si="13"/>
        <v>N/A</v>
      </c>
      <c r="CF13" s="113"/>
      <c r="CG13" s="95" t="str">
        <f t="shared" si="14"/>
        <v>N/A</v>
      </c>
      <c r="CH13" s="80"/>
      <c r="CI13" s="95" t="str">
        <f t="shared" si="15"/>
        <v>N/A</v>
      </c>
      <c r="CJ13" s="80"/>
      <c r="CK13" s="95" t="str">
        <f t="shared" si="16"/>
        <v>ok</v>
      </c>
      <c r="CL13" s="112"/>
      <c r="CM13" s="95" t="str">
        <f t="shared" si="17"/>
        <v>ok</v>
      </c>
      <c r="CN13" s="112"/>
      <c r="CO13" s="95" t="str">
        <f t="shared" si="18"/>
        <v>ok</v>
      </c>
      <c r="CP13" s="80"/>
      <c r="CQ13" s="95" t="str">
        <f t="shared" si="19"/>
        <v>ok</v>
      </c>
      <c r="CR13" s="113"/>
      <c r="CS13" s="95" t="str">
        <f t="shared" si="20"/>
        <v>ok</v>
      </c>
      <c r="CT13" s="80"/>
      <c r="CU13" s="276"/>
    </row>
    <row r="14" spans="1:99" ht="26.1" customHeight="1" x14ac:dyDescent="0.2">
      <c r="B14" s="224">
        <v>89</v>
      </c>
      <c r="C14" s="242">
        <v>7</v>
      </c>
      <c r="D14" s="239" t="s">
        <v>316</v>
      </c>
      <c r="E14" s="242" t="s">
        <v>315</v>
      </c>
      <c r="F14" s="582"/>
      <c r="G14" s="593"/>
      <c r="H14" s="582"/>
      <c r="I14" s="593"/>
      <c r="J14" s="582"/>
      <c r="K14" s="593"/>
      <c r="L14" s="582"/>
      <c r="M14" s="593"/>
      <c r="N14" s="582"/>
      <c r="O14" s="593"/>
      <c r="P14" s="582"/>
      <c r="Q14" s="593"/>
      <c r="R14" s="582"/>
      <c r="S14" s="593"/>
      <c r="T14" s="582"/>
      <c r="U14" s="593"/>
      <c r="V14" s="582"/>
      <c r="W14" s="593"/>
      <c r="X14" s="582"/>
      <c r="Y14" s="593"/>
      <c r="Z14" s="582"/>
      <c r="AA14" s="593"/>
      <c r="AB14" s="582"/>
      <c r="AC14" s="593"/>
      <c r="AD14" s="582"/>
      <c r="AE14" s="593"/>
      <c r="AF14" s="582"/>
      <c r="AG14" s="593"/>
      <c r="AH14" s="582"/>
      <c r="AI14" s="593"/>
      <c r="AJ14" s="582"/>
      <c r="AK14" s="593"/>
      <c r="AL14" s="582"/>
      <c r="AM14" s="593"/>
      <c r="AN14" s="582"/>
      <c r="AO14" s="593"/>
      <c r="AP14" s="658"/>
      <c r="AQ14" s="657"/>
      <c r="AR14" s="658"/>
      <c r="AS14" s="657"/>
      <c r="AT14" s="658"/>
      <c r="AU14" s="657"/>
      <c r="AV14" s="582">
        <v>824.8</v>
      </c>
      <c r="AW14" s="593" t="s">
        <v>634</v>
      </c>
      <c r="AZ14" s="80">
        <v>7</v>
      </c>
      <c r="BA14" s="237" t="s">
        <v>484</v>
      </c>
      <c r="BB14" s="80" t="s">
        <v>632</v>
      </c>
      <c r="BC14" s="114" t="s">
        <v>471</v>
      </c>
      <c r="BD14" s="113"/>
      <c r="BE14" s="95" t="str">
        <f t="shared" si="0"/>
        <v>N/A</v>
      </c>
      <c r="BF14" s="112"/>
      <c r="BG14" s="95" t="str">
        <f t="shared" si="1"/>
        <v>N/A</v>
      </c>
      <c r="BH14" s="113"/>
      <c r="BI14" s="95" t="str">
        <f t="shared" si="2"/>
        <v>N/A</v>
      </c>
      <c r="BJ14" s="113"/>
      <c r="BK14" s="95" t="str">
        <f t="shared" si="3"/>
        <v>N/A</v>
      </c>
      <c r="BL14" s="113"/>
      <c r="BM14" s="95" t="str">
        <f t="shared" si="4"/>
        <v>N/A</v>
      </c>
      <c r="BN14" s="113"/>
      <c r="BO14" s="95" t="str">
        <f t="shared" si="5"/>
        <v>N/A</v>
      </c>
      <c r="BP14" s="113"/>
      <c r="BQ14" s="95" t="str">
        <f t="shared" si="6"/>
        <v>N/A</v>
      </c>
      <c r="BR14" s="112"/>
      <c r="BS14" s="95" t="str">
        <f t="shared" si="7"/>
        <v>N/A</v>
      </c>
      <c r="BT14" s="80"/>
      <c r="BU14" s="95" t="str">
        <f t="shared" si="8"/>
        <v>N/A</v>
      </c>
      <c r="BV14" s="112"/>
      <c r="BW14" s="95" t="str">
        <f t="shared" si="9"/>
        <v>N/A</v>
      </c>
      <c r="BX14" s="80"/>
      <c r="BY14" s="95" t="str">
        <f t="shared" si="10"/>
        <v>N/A</v>
      </c>
      <c r="BZ14" s="113"/>
      <c r="CA14" s="95" t="str">
        <f t="shared" si="11"/>
        <v>N/A</v>
      </c>
      <c r="CB14" s="112"/>
      <c r="CC14" s="95" t="str">
        <f t="shared" si="12"/>
        <v>N/A</v>
      </c>
      <c r="CD14" s="80"/>
      <c r="CE14" s="95" t="str">
        <f t="shared" si="13"/>
        <v>N/A</v>
      </c>
      <c r="CF14" s="113"/>
      <c r="CG14" s="95" t="str">
        <f t="shared" si="14"/>
        <v>N/A</v>
      </c>
      <c r="CH14" s="80"/>
      <c r="CI14" s="95" t="str">
        <f t="shared" si="15"/>
        <v>N/A</v>
      </c>
      <c r="CJ14" s="80"/>
      <c r="CK14" s="95" t="str">
        <f t="shared" si="16"/>
        <v>N/A</v>
      </c>
      <c r="CL14" s="112"/>
      <c r="CM14" s="95" t="str">
        <f t="shared" si="17"/>
        <v>N/A</v>
      </c>
      <c r="CN14" s="112"/>
      <c r="CO14" s="95" t="str">
        <f t="shared" si="18"/>
        <v>N/A</v>
      </c>
      <c r="CP14" s="80"/>
      <c r="CQ14" s="95" t="str">
        <f t="shared" si="19"/>
        <v>N/A</v>
      </c>
      <c r="CR14" s="113"/>
      <c r="CS14" s="95" t="str">
        <f t="shared" si="20"/>
        <v>N/A</v>
      </c>
      <c r="CT14" s="80"/>
      <c r="CU14" s="276"/>
    </row>
    <row r="15" spans="1:99" ht="21.75" customHeight="1" x14ac:dyDescent="0.2">
      <c r="B15" s="224">
        <v>94</v>
      </c>
      <c r="C15" s="242">
        <v>8</v>
      </c>
      <c r="D15" s="489" t="s">
        <v>170</v>
      </c>
      <c r="E15" s="242" t="s">
        <v>315</v>
      </c>
      <c r="F15" s="582"/>
      <c r="G15" s="593"/>
      <c r="H15" s="582"/>
      <c r="I15" s="593"/>
      <c r="J15" s="582"/>
      <c r="K15" s="593"/>
      <c r="L15" s="582"/>
      <c r="M15" s="593"/>
      <c r="N15" s="582"/>
      <c r="O15" s="593"/>
      <c r="P15" s="582"/>
      <c r="Q15" s="593"/>
      <c r="R15" s="582"/>
      <c r="S15" s="593"/>
      <c r="T15" s="582"/>
      <c r="U15" s="593"/>
      <c r="V15" s="582"/>
      <c r="W15" s="593"/>
      <c r="X15" s="582"/>
      <c r="Y15" s="593"/>
      <c r="Z15" s="582"/>
      <c r="AA15" s="593"/>
      <c r="AB15" s="582"/>
      <c r="AC15" s="593"/>
      <c r="AD15" s="582"/>
      <c r="AE15" s="593"/>
      <c r="AF15" s="582"/>
      <c r="AG15" s="593"/>
      <c r="AH15" s="582"/>
      <c r="AI15" s="593"/>
      <c r="AJ15" s="582"/>
      <c r="AK15" s="593"/>
      <c r="AL15" s="582"/>
      <c r="AM15" s="593"/>
      <c r="AN15" s="582"/>
      <c r="AO15" s="593"/>
      <c r="AP15" s="658"/>
      <c r="AQ15" s="657"/>
      <c r="AR15" s="658"/>
      <c r="AS15" s="657"/>
      <c r="AT15" s="658"/>
      <c r="AU15" s="657"/>
      <c r="AV15" s="582">
        <v>115.4</v>
      </c>
      <c r="AW15" s="593" t="s">
        <v>634</v>
      </c>
      <c r="AZ15" s="80">
        <v>8</v>
      </c>
      <c r="BA15" s="443" t="s">
        <v>475</v>
      </c>
      <c r="BB15" s="80" t="s">
        <v>632</v>
      </c>
      <c r="BC15" s="114" t="s">
        <v>471</v>
      </c>
      <c r="BD15" s="113"/>
      <c r="BE15" s="95" t="str">
        <f t="shared" si="0"/>
        <v>N/A</v>
      </c>
      <c r="BF15" s="112"/>
      <c r="BG15" s="95" t="str">
        <f t="shared" si="1"/>
        <v>N/A</v>
      </c>
      <c r="BH15" s="113"/>
      <c r="BI15" s="95" t="str">
        <f t="shared" si="2"/>
        <v>N/A</v>
      </c>
      <c r="BJ15" s="113"/>
      <c r="BK15" s="95" t="str">
        <f t="shared" si="3"/>
        <v>N/A</v>
      </c>
      <c r="BL15" s="113"/>
      <c r="BM15" s="95" t="str">
        <f t="shared" si="4"/>
        <v>N/A</v>
      </c>
      <c r="BN15" s="113"/>
      <c r="BO15" s="95" t="str">
        <f t="shared" si="5"/>
        <v>N/A</v>
      </c>
      <c r="BP15" s="113"/>
      <c r="BQ15" s="95" t="str">
        <f t="shared" si="6"/>
        <v>N/A</v>
      </c>
      <c r="BR15" s="112"/>
      <c r="BS15" s="95" t="str">
        <f t="shared" si="7"/>
        <v>N/A</v>
      </c>
      <c r="BT15" s="80"/>
      <c r="BU15" s="95" t="str">
        <f t="shared" si="8"/>
        <v>N/A</v>
      </c>
      <c r="BV15" s="112"/>
      <c r="BW15" s="95" t="str">
        <f t="shared" si="9"/>
        <v>N/A</v>
      </c>
      <c r="BX15" s="80"/>
      <c r="BY15" s="95" t="str">
        <f t="shared" si="10"/>
        <v>N/A</v>
      </c>
      <c r="BZ15" s="113"/>
      <c r="CA15" s="95" t="str">
        <f t="shared" si="11"/>
        <v>N/A</v>
      </c>
      <c r="CB15" s="112"/>
      <c r="CC15" s="95" t="str">
        <f t="shared" si="12"/>
        <v>N/A</v>
      </c>
      <c r="CD15" s="80"/>
      <c r="CE15" s="95" t="str">
        <f t="shared" si="13"/>
        <v>N/A</v>
      </c>
      <c r="CF15" s="113"/>
      <c r="CG15" s="95" t="str">
        <f t="shared" si="14"/>
        <v>N/A</v>
      </c>
      <c r="CH15" s="80"/>
      <c r="CI15" s="95" t="str">
        <f t="shared" si="15"/>
        <v>N/A</v>
      </c>
      <c r="CJ15" s="80"/>
      <c r="CK15" s="95" t="str">
        <f t="shared" si="16"/>
        <v>N/A</v>
      </c>
      <c r="CL15" s="112"/>
      <c r="CM15" s="95" t="str">
        <f t="shared" si="17"/>
        <v>N/A</v>
      </c>
      <c r="CN15" s="112"/>
      <c r="CO15" s="95" t="str">
        <f t="shared" si="18"/>
        <v>N/A</v>
      </c>
      <c r="CP15" s="80"/>
      <c r="CQ15" s="95" t="str">
        <f t="shared" si="19"/>
        <v>N/A</v>
      </c>
      <c r="CR15" s="113"/>
      <c r="CS15" s="95" t="str">
        <f t="shared" si="20"/>
        <v>N/A</v>
      </c>
      <c r="CT15" s="80"/>
      <c r="CU15" s="276"/>
    </row>
    <row r="16" spans="1:99" ht="18" customHeight="1" x14ac:dyDescent="0.2">
      <c r="B16" s="224">
        <v>98</v>
      </c>
      <c r="C16" s="242">
        <v>9</v>
      </c>
      <c r="D16" s="239" t="s">
        <v>606</v>
      </c>
      <c r="E16" s="242" t="s">
        <v>315</v>
      </c>
      <c r="F16" s="582"/>
      <c r="G16" s="593"/>
      <c r="H16" s="582"/>
      <c r="I16" s="593"/>
      <c r="J16" s="582"/>
      <c r="K16" s="593"/>
      <c r="L16" s="582"/>
      <c r="M16" s="593"/>
      <c r="N16" s="582"/>
      <c r="O16" s="593"/>
      <c r="P16" s="582"/>
      <c r="Q16" s="593"/>
      <c r="R16" s="582"/>
      <c r="S16" s="593"/>
      <c r="T16" s="582"/>
      <c r="U16" s="593"/>
      <c r="V16" s="582"/>
      <c r="W16" s="593"/>
      <c r="X16" s="582"/>
      <c r="Y16" s="593"/>
      <c r="Z16" s="582"/>
      <c r="AA16" s="593"/>
      <c r="AB16" s="582"/>
      <c r="AC16" s="593"/>
      <c r="AD16" s="582"/>
      <c r="AE16" s="593"/>
      <c r="AF16" s="582"/>
      <c r="AG16" s="593"/>
      <c r="AH16" s="582"/>
      <c r="AI16" s="593"/>
      <c r="AJ16" s="582"/>
      <c r="AK16" s="593"/>
      <c r="AL16" s="582"/>
      <c r="AM16" s="593"/>
      <c r="AN16" s="582"/>
      <c r="AO16" s="593"/>
      <c r="AP16" s="658"/>
      <c r="AQ16" s="657"/>
      <c r="AR16" s="658"/>
      <c r="AS16" s="657"/>
      <c r="AT16" s="658"/>
      <c r="AU16" s="657"/>
      <c r="AV16" s="582">
        <v>329.9</v>
      </c>
      <c r="AW16" s="593" t="s">
        <v>634</v>
      </c>
      <c r="AZ16" s="80">
        <v>9</v>
      </c>
      <c r="BA16" s="443" t="s">
        <v>476</v>
      </c>
      <c r="BB16" s="80" t="s">
        <v>632</v>
      </c>
      <c r="BC16" s="114" t="s">
        <v>471</v>
      </c>
      <c r="BD16" s="113"/>
      <c r="BE16" s="95" t="str">
        <f t="shared" si="0"/>
        <v>N/A</v>
      </c>
      <c r="BF16" s="112"/>
      <c r="BG16" s="95" t="str">
        <f t="shared" si="1"/>
        <v>N/A</v>
      </c>
      <c r="BH16" s="113"/>
      <c r="BI16" s="95" t="str">
        <f t="shared" si="2"/>
        <v>N/A</v>
      </c>
      <c r="BJ16" s="113"/>
      <c r="BK16" s="95" t="str">
        <f t="shared" si="3"/>
        <v>N/A</v>
      </c>
      <c r="BL16" s="113"/>
      <c r="BM16" s="95" t="str">
        <f t="shared" si="4"/>
        <v>N/A</v>
      </c>
      <c r="BN16" s="113"/>
      <c r="BO16" s="95" t="str">
        <f t="shared" si="5"/>
        <v>N/A</v>
      </c>
      <c r="BP16" s="113"/>
      <c r="BQ16" s="95" t="str">
        <f t="shared" si="6"/>
        <v>N/A</v>
      </c>
      <c r="BR16" s="112"/>
      <c r="BS16" s="95" t="str">
        <f t="shared" si="7"/>
        <v>N/A</v>
      </c>
      <c r="BT16" s="80"/>
      <c r="BU16" s="95" t="str">
        <f t="shared" si="8"/>
        <v>N/A</v>
      </c>
      <c r="BV16" s="112"/>
      <c r="BW16" s="95" t="str">
        <f t="shared" si="9"/>
        <v>N/A</v>
      </c>
      <c r="BX16" s="80"/>
      <c r="BY16" s="95" t="str">
        <f t="shared" si="10"/>
        <v>N/A</v>
      </c>
      <c r="BZ16" s="113"/>
      <c r="CA16" s="95" t="str">
        <f t="shared" si="11"/>
        <v>N/A</v>
      </c>
      <c r="CB16" s="112"/>
      <c r="CC16" s="95" t="str">
        <f t="shared" si="12"/>
        <v>N/A</v>
      </c>
      <c r="CD16" s="80"/>
      <c r="CE16" s="95" t="str">
        <f t="shared" si="13"/>
        <v>N/A</v>
      </c>
      <c r="CF16" s="113"/>
      <c r="CG16" s="95" t="str">
        <f t="shared" si="14"/>
        <v>N/A</v>
      </c>
      <c r="CH16" s="80"/>
      <c r="CI16" s="95" t="str">
        <f t="shared" si="15"/>
        <v>N/A</v>
      </c>
      <c r="CJ16" s="80"/>
      <c r="CK16" s="95" t="str">
        <f t="shared" si="16"/>
        <v>N/A</v>
      </c>
      <c r="CL16" s="112"/>
      <c r="CM16" s="95" t="str">
        <f t="shared" si="17"/>
        <v>N/A</v>
      </c>
      <c r="CN16" s="112"/>
      <c r="CO16" s="95" t="str">
        <f t="shared" si="18"/>
        <v>N/A</v>
      </c>
      <c r="CP16" s="80"/>
      <c r="CQ16" s="95" t="str">
        <f t="shared" si="19"/>
        <v>N/A</v>
      </c>
      <c r="CR16" s="113"/>
      <c r="CS16" s="95" t="str">
        <f t="shared" si="20"/>
        <v>N/A</v>
      </c>
      <c r="CT16" s="80"/>
      <c r="CU16" s="276"/>
    </row>
    <row r="17" spans="1:105" ht="18" customHeight="1" x14ac:dyDescent="0.2">
      <c r="B17" s="224">
        <v>102</v>
      </c>
      <c r="C17" s="242">
        <v>10</v>
      </c>
      <c r="D17" s="239" t="s">
        <v>607</v>
      </c>
      <c r="E17" s="242" t="s">
        <v>315</v>
      </c>
      <c r="F17" s="582"/>
      <c r="G17" s="593"/>
      <c r="H17" s="582"/>
      <c r="I17" s="593"/>
      <c r="J17" s="582"/>
      <c r="K17" s="593"/>
      <c r="L17" s="582"/>
      <c r="M17" s="593"/>
      <c r="N17" s="582"/>
      <c r="O17" s="593"/>
      <c r="P17" s="582"/>
      <c r="Q17" s="593"/>
      <c r="R17" s="582"/>
      <c r="S17" s="593"/>
      <c r="T17" s="582"/>
      <c r="U17" s="593"/>
      <c r="V17" s="582"/>
      <c r="W17" s="593"/>
      <c r="X17" s="582"/>
      <c r="Y17" s="593"/>
      <c r="Z17" s="582"/>
      <c r="AA17" s="593"/>
      <c r="AB17" s="582"/>
      <c r="AC17" s="593"/>
      <c r="AD17" s="582"/>
      <c r="AE17" s="593"/>
      <c r="AF17" s="582"/>
      <c r="AG17" s="593"/>
      <c r="AH17" s="582"/>
      <c r="AI17" s="593"/>
      <c r="AJ17" s="582"/>
      <c r="AK17" s="593"/>
      <c r="AL17" s="582"/>
      <c r="AM17" s="593"/>
      <c r="AN17" s="582"/>
      <c r="AO17" s="593"/>
      <c r="AP17" s="658"/>
      <c r="AQ17" s="657"/>
      <c r="AR17" s="658"/>
      <c r="AS17" s="657"/>
      <c r="AT17" s="658"/>
      <c r="AU17" s="657"/>
      <c r="AV17" s="582">
        <v>379.4</v>
      </c>
      <c r="AW17" s="593" t="s">
        <v>634</v>
      </c>
      <c r="AZ17" s="80">
        <v>10</v>
      </c>
      <c r="BA17" s="443" t="s">
        <v>477</v>
      </c>
      <c r="BB17" s="80" t="s">
        <v>632</v>
      </c>
      <c r="BC17" s="114" t="s">
        <v>471</v>
      </c>
      <c r="BD17" s="113"/>
      <c r="BE17" s="95" t="str">
        <f t="shared" si="0"/>
        <v>N/A</v>
      </c>
      <c r="BF17" s="112"/>
      <c r="BG17" s="95" t="str">
        <f t="shared" si="1"/>
        <v>N/A</v>
      </c>
      <c r="BH17" s="114"/>
      <c r="BI17" s="95" t="str">
        <f t="shared" si="2"/>
        <v>N/A</v>
      </c>
      <c r="BJ17" s="114"/>
      <c r="BK17" s="95" t="str">
        <f t="shared" si="3"/>
        <v>N/A</v>
      </c>
      <c r="BL17" s="114"/>
      <c r="BM17" s="95" t="str">
        <f t="shared" si="4"/>
        <v>N/A</v>
      </c>
      <c r="BN17" s="114"/>
      <c r="BO17" s="95" t="str">
        <f t="shared" si="5"/>
        <v>N/A</v>
      </c>
      <c r="BP17" s="114"/>
      <c r="BQ17" s="95" t="str">
        <f t="shared" si="6"/>
        <v>N/A</v>
      </c>
      <c r="BR17" s="112"/>
      <c r="BS17" s="95" t="str">
        <f t="shared" si="7"/>
        <v>N/A</v>
      </c>
      <c r="BT17" s="80"/>
      <c r="BU17" s="95" t="str">
        <f t="shared" si="8"/>
        <v>N/A</v>
      </c>
      <c r="BV17" s="112"/>
      <c r="BW17" s="95" t="str">
        <f t="shared" si="9"/>
        <v>N/A</v>
      </c>
      <c r="BX17" s="80"/>
      <c r="BY17" s="95" t="str">
        <f t="shared" si="10"/>
        <v>N/A</v>
      </c>
      <c r="BZ17" s="113"/>
      <c r="CA17" s="95" t="str">
        <f t="shared" si="11"/>
        <v>N/A</v>
      </c>
      <c r="CB17" s="112"/>
      <c r="CC17" s="95" t="str">
        <f t="shared" si="12"/>
        <v>N/A</v>
      </c>
      <c r="CD17" s="80"/>
      <c r="CE17" s="95" t="str">
        <f t="shared" si="13"/>
        <v>N/A</v>
      </c>
      <c r="CF17" s="113"/>
      <c r="CG17" s="95" t="str">
        <f t="shared" si="14"/>
        <v>N/A</v>
      </c>
      <c r="CH17" s="80"/>
      <c r="CI17" s="95" t="str">
        <f t="shared" si="15"/>
        <v>N/A</v>
      </c>
      <c r="CJ17" s="80"/>
      <c r="CK17" s="95" t="str">
        <f t="shared" si="16"/>
        <v>N/A</v>
      </c>
      <c r="CL17" s="112"/>
      <c r="CM17" s="95" t="str">
        <f t="shared" si="17"/>
        <v>N/A</v>
      </c>
      <c r="CN17" s="112"/>
      <c r="CO17" s="95" t="str">
        <f t="shared" si="18"/>
        <v>N/A</v>
      </c>
      <c r="CP17" s="80"/>
      <c r="CQ17" s="95" t="str">
        <f t="shared" si="19"/>
        <v>N/A</v>
      </c>
      <c r="CR17" s="113"/>
      <c r="CS17" s="95" t="str">
        <f t="shared" si="20"/>
        <v>N/A</v>
      </c>
      <c r="CT17" s="80"/>
      <c r="CU17" s="276"/>
    </row>
    <row r="18" spans="1:105" ht="26.1" customHeight="1" x14ac:dyDescent="0.2">
      <c r="B18" s="224">
        <v>109</v>
      </c>
      <c r="C18" s="242">
        <v>11</v>
      </c>
      <c r="D18" s="239" t="s">
        <v>317</v>
      </c>
      <c r="E18" s="242" t="s">
        <v>315</v>
      </c>
      <c r="F18" s="582"/>
      <c r="G18" s="593"/>
      <c r="H18" s="582"/>
      <c r="I18" s="593"/>
      <c r="J18" s="582"/>
      <c r="K18" s="593"/>
      <c r="L18" s="582"/>
      <c r="M18" s="593"/>
      <c r="N18" s="582"/>
      <c r="O18" s="593"/>
      <c r="P18" s="582"/>
      <c r="Q18" s="593"/>
      <c r="R18" s="582"/>
      <c r="S18" s="593"/>
      <c r="T18" s="582"/>
      <c r="U18" s="593"/>
      <c r="V18" s="582"/>
      <c r="W18" s="593"/>
      <c r="X18" s="582"/>
      <c r="Y18" s="593"/>
      <c r="Z18" s="582"/>
      <c r="AA18" s="593"/>
      <c r="AB18" s="582"/>
      <c r="AC18" s="593"/>
      <c r="AD18" s="582"/>
      <c r="AE18" s="593"/>
      <c r="AF18" s="582"/>
      <c r="AG18" s="593"/>
      <c r="AH18" s="582"/>
      <c r="AI18" s="593"/>
      <c r="AJ18" s="582"/>
      <c r="AK18" s="593"/>
      <c r="AL18" s="582"/>
      <c r="AM18" s="593"/>
      <c r="AN18" s="582"/>
      <c r="AO18" s="593"/>
      <c r="AP18" s="582"/>
      <c r="AQ18" s="593"/>
      <c r="AR18" s="582"/>
      <c r="AS18" s="593"/>
      <c r="AT18" s="582"/>
      <c r="AU18" s="593"/>
      <c r="AV18" s="582"/>
      <c r="AW18" s="593"/>
      <c r="AZ18" s="80">
        <v>11</v>
      </c>
      <c r="BA18" s="237" t="s">
        <v>478</v>
      </c>
      <c r="BB18" s="80" t="s">
        <v>632</v>
      </c>
      <c r="BC18" s="114" t="s">
        <v>471</v>
      </c>
      <c r="BD18" s="113"/>
      <c r="BE18" s="95" t="str">
        <f t="shared" si="0"/>
        <v>N/A</v>
      </c>
      <c r="BF18" s="112"/>
      <c r="BG18" s="95" t="str">
        <f t="shared" si="1"/>
        <v>N/A</v>
      </c>
      <c r="BH18" s="114"/>
      <c r="BI18" s="95" t="str">
        <f t="shared" si="2"/>
        <v>N/A</v>
      </c>
      <c r="BJ18" s="114"/>
      <c r="BK18" s="95" t="str">
        <f t="shared" si="3"/>
        <v>N/A</v>
      </c>
      <c r="BL18" s="114"/>
      <c r="BM18" s="95" t="str">
        <f t="shared" si="4"/>
        <v>N/A</v>
      </c>
      <c r="BN18" s="114"/>
      <c r="BO18" s="95" t="str">
        <f t="shared" si="5"/>
        <v>N/A</v>
      </c>
      <c r="BP18" s="114"/>
      <c r="BQ18" s="95" t="str">
        <f t="shared" si="6"/>
        <v>N/A</v>
      </c>
      <c r="BR18" s="80"/>
      <c r="BS18" s="95" t="str">
        <f t="shared" si="7"/>
        <v>N/A</v>
      </c>
      <c r="BT18" s="80"/>
      <c r="BU18" s="95" t="str">
        <f t="shared" si="8"/>
        <v>N/A</v>
      </c>
      <c r="BV18" s="112"/>
      <c r="BW18" s="95" t="str">
        <f t="shared" si="9"/>
        <v>N/A</v>
      </c>
      <c r="BX18" s="80"/>
      <c r="BY18" s="95" t="str">
        <f t="shared" si="10"/>
        <v>N/A</v>
      </c>
      <c r="BZ18" s="113"/>
      <c r="CA18" s="95" t="str">
        <f t="shared" si="11"/>
        <v>N/A</v>
      </c>
      <c r="CB18" s="112"/>
      <c r="CC18" s="95" t="str">
        <f t="shared" si="12"/>
        <v>N/A</v>
      </c>
      <c r="CD18" s="80"/>
      <c r="CE18" s="95" t="str">
        <f t="shared" si="13"/>
        <v>N/A</v>
      </c>
      <c r="CF18" s="113"/>
      <c r="CG18" s="95" t="str">
        <f t="shared" si="14"/>
        <v>N/A</v>
      </c>
      <c r="CH18" s="80"/>
      <c r="CI18" s="95" t="str">
        <f t="shared" si="15"/>
        <v>N/A</v>
      </c>
      <c r="CJ18" s="80"/>
      <c r="CK18" s="95" t="str">
        <f t="shared" si="16"/>
        <v>N/A</v>
      </c>
      <c r="CL18" s="112"/>
      <c r="CM18" s="95" t="str">
        <f t="shared" si="17"/>
        <v>N/A</v>
      </c>
      <c r="CN18" s="112"/>
      <c r="CO18" s="95" t="str">
        <f t="shared" si="18"/>
        <v>N/A</v>
      </c>
      <c r="CP18" s="80"/>
      <c r="CQ18" s="95" t="str">
        <f t="shared" si="19"/>
        <v>N/A</v>
      </c>
      <c r="CR18" s="113"/>
      <c r="CS18" s="95" t="str">
        <f t="shared" si="20"/>
        <v>N/A</v>
      </c>
      <c r="CT18" s="80"/>
      <c r="CU18" s="276"/>
    </row>
    <row r="19" spans="1:105" ht="23.25" customHeight="1" x14ac:dyDescent="0.2">
      <c r="B19" s="224">
        <v>90</v>
      </c>
      <c r="C19" s="242">
        <v>12</v>
      </c>
      <c r="D19" s="489" t="s">
        <v>170</v>
      </c>
      <c r="E19" s="242" t="s">
        <v>315</v>
      </c>
      <c r="F19" s="582"/>
      <c r="G19" s="593"/>
      <c r="H19" s="582"/>
      <c r="I19" s="593"/>
      <c r="J19" s="582"/>
      <c r="K19" s="593"/>
      <c r="L19" s="582"/>
      <c r="M19" s="593"/>
      <c r="N19" s="582"/>
      <c r="O19" s="593"/>
      <c r="P19" s="582"/>
      <c r="Q19" s="593"/>
      <c r="R19" s="582"/>
      <c r="S19" s="593"/>
      <c r="T19" s="582"/>
      <c r="U19" s="593"/>
      <c r="V19" s="582"/>
      <c r="W19" s="593"/>
      <c r="X19" s="582"/>
      <c r="Y19" s="593"/>
      <c r="Z19" s="582"/>
      <c r="AA19" s="593"/>
      <c r="AB19" s="582"/>
      <c r="AC19" s="593"/>
      <c r="AD19" s="582"/>
      <c r="AE19" s="593"/>
      <c r="AF19" s="582"/>
      <c r="AG19" s="593"/>
      <c r="AH19" s="582"/>
      <c r="AI19" s="593"/>
      <c r="AJ19" s="582"/>
      <c r="AK19" s="593"/>
      <c r="AL19" s="582"/>
      <c r="AM19" s="593"/>
      <c r="AN19" s="582"/>
      <c r="AO19" s="593"/>
      <c r="AP19" s="582"/>
      <c r="AQ19" s="593"/>
      <c r="AR19" s="582"/>
      <c r="AS19" s="593"/>
      <c r="AT19" s="582"/>
      <c r="AU19" s="593"/>
      <c r="AV19" s="582"/>
      <c r="AW19" s="593"/>
      <c r="AZ19" s="80">
        <v>12</v>
      </c>
      <c r="BA19" s="443" t="s">
        <v>475</v>
      </c>
      <c r="BB19" s="80" t="s">
        <v>632</v>
      </c>
      <c r="BC19" s="80" t="s">
        <v>471</v>
      </c>
      <c r="BD19" s="114"/>
      <c r="BE19" s="95" t="str">
        <f t="shared" si="0"/>
        <v>N/A</v>
      </c>
      <c r="BF19" s="80"/>
      <c r="BG19" s="95" t="str">
        <f t="shared" si="1"/>
        <v>N/A</v>
      </c>
      <c r="BH19" s="80"/>
      <c r="BI19" s="95" t="str">
        <f t="shared" si="2"/>
        <v>N/A</v>
      </c>
      <c r="BJ19" s="80"/>
      <c r="BK19" s="95" t="str">
        <f t="shared" si="3"/>
        <v>N/A</v>
      </c>
      <c r="BL19" s="80"/>
      <c r="BM19" s="95" t="str">
        <f t="shared" si="4"/>
        <v>N/A</v>
      </c>
      <c r="BN19" s="80"/>
      <c r="BO19" s="95" t="str">
        <f t="shared" si="5"/>
        <v>N/A</v>
      </c>
      <c r="BP19" s="80"/>
      <c r="BQ19" s="95" t="str">
        <f t="shared" si="6"/>
        <v>N/A</v>
      </c>
      <c r="BR19" s="80"/>
      <c r="BS19" s="95" t="str">
        <f t="shared" si="7"/>
        <v>N/A</v>
      </c>
      <c r="BT19" s="80"/>
      <c r="BU19" s="95" t="str">
        <f t="shared" si="8"/>
        <v>N/A</v>
      </c>
      <c r="BV19" s="112"/>
      <c r="BW19" s="95" t="str">
        <f t="shared" si="9"/>
        <v>N/A</v>
      </c>
      <c r="BX19" s="80"/>
      <c r="BY19" s="95" t="str">
        <f t="shared" si="10"/>
        <v>N/A</v>
      </c>
      <c r="BZ19" s="113"/>
      <c r="CA19" s="95" t="str">
        <f t="shared" si="11"/>
        <v>N/A</v>
      </c>
      <c r="CB19" s="112"/>
      <c r="CC19" s="95" t="str">
        <f t="shared" si="12"/>
        <v>N/A</v>
      </c>
      <c r="CD19" s="80"/>
      <c r="CE19" s="95" t="str">
        <f t="shared" si="13"/>
        <v>N/A</v>
      </c>
      <c r="CF19" s="113"/>
      <c r="CG19" s="95" t="str">
        <f t="shared" si="14"/>
        <v>N/A</v>
      </c>
      <c r="CH19" s="80"/>
      <c r="CI19" s="95" t="str">
        <f t="shared" si="15"/>
        <v>N/A</v>
      </c>
      <c r="CJ19" s="80"/>
      <c r="CK19" s="95" t="str">
        <f t="shared" si="16"/>
        <v>N/A</v>
      </c>
      <c r="CL19" s="112"/>
      <c r="CM19" s="95" t="str">
        <f t="shared" si="17"/>
        <v>N/A</v>
      </c>
      <c r="CN19" s="112"/>
      <c r="CO19" s="95" t="str">
        <f t="shared" si="18"/>
        <v>N/A</v>
      </c>
      <c r="CP19" s="80"/>
      <c r="CQ19" s="95" t="str">
        <f t="shared" si="19"/>
        <v>N/A</v>
      </c>
      <c r="CR19" s="113"/>
      <c r="CS19" s="95" t="str">
        <f t="shared" si="20"/>
        <v>N/A</v>
      </c>
      <c r="CT19" s="80"/>
      <c r="CU19" s="276"/>
    </row>
    <row r="20" spans="1:105" ht="18" customHeight="1" x14ac:dyDescent="0.2">
      <c r="B20" s="224">
        <v>91</v>
      </c>
      <c r="C20" s="242">
        <v>13</v>
      </c>
      <c r="D20" s="239" t="s">
        <v>606</v>
      </c>
      <c r="E20" s="242" t="s">
        <v>315</v>
      </c>
      <c r="F20" s="582"/>
      <c r="G20" s="593"/>
      <c r="H20" s="582"/>
      <c r="I20" s="593"/>
      <c r="J20" s="582"/>
      <c r="K20" s="593"/>
      <c r="L20" s="582"/>
      <c r="M20" s="593"/>
      <c r="N20" s="582"/>
      <c r="O20" s="593"/>
      <c r="P20" s="582"/>
      <c r="Q20" s="593"/>
      <c r="R20" s="582"/>
      <c r="S20" s="593"/>
      <c r="T20" s="582"/>
      <c r="U20" s="593"/>
      <c r="V20" s="582"/>
      <c r="W20" s="593"/>
      <c r="X20" s="582"/>
      <c r="Y20" s="593"/>
      <c r="Z20" s="582"/>
      <c r="AA20" s="593"/>
      <c r="AB20" s="582"/>
      <c r="AC20" s="593"/>
      <c r="AD20" s="582"/>
      <c r="AE20" s="593"/>
      <c r="AF20" s="582"/>
      <c r="AG20" s="593"/>
      <c r="AH20" s="582"/>
      <c r="AI20" s="593"/>
      <c r="AJ20" s="582"/>
      <c r="AK20" s="593"/>
      <c r="AL20" s="582"/>
      <c r="AM20" s="593"/>
      <c r="AN20" s="582"/>
      <c r="AO20" s="593"/>
      <c r="AP20" s="582"/>
      <c r="AQ20" s="593"/>
      <c r="AR20" s="582"/>
      <c r="AS20" s="593"/>
      <c r="AT20" s="582"/>
      <c r="AU20" s="593"/>
      <c r="AV20" s="582"/>
      <c r="AW20" s="593"/>
      <c r="AZ20" s="80">
        <v>13</v>
      </c>
      <c r="BA20" s="443" t="s">
        <v>476</v>
      </c>
      <c r="BB20" s="80" t="s">
        <v>632</v>
      </c>
      <c r="BC20" s="80" t="s">
        <v>471</v>
      </c>
      <c r="BD20" s="114"/>
      <c r="BE20" s="95" t="str">
        <f t="shared" si="0"/>
        <v>N/A</v>
      </c>
      <c r="BF20" s="80"/>
      <c r="BG20" s="95" t="str">
        <f t="shared" si="1"/>
        <v>N/A</v>
      </c>
      <c r="BH20" s="80"/>
      <c r="BI20" s="95" t="str">
        <f t="shared" si="2"/>
        <v>N/A</v>
      </c>
      <c r="BJ20" s="80"/>
      <c r="BK20" s="95" t="str">
        <f t="shared" si="3"/>
        <v>N/A</v>
      </c>
      <c r="BL20" s="80"/>
      <c r="BM20" s="95" t="str">
        <f t="shared" si="4"/>
        <v>N/A</v>
      </c>
      <c r="BN20" s="80"/>
      <c r="BO20" s="95" t="str">
        <f t="shared" si="5"/>
        <v>N/A</v>
      </c>
      <c r="BP20" s="80"/>
      <c r="BQ20" s="95" t="str">
        <f t="shared" si="6"/>
        <v>N/A</v>
      </c>
      <c r="BR20" s="80"/>
      <c r="BS20" s="95" t="str">
        <f t="shared" si="7"/>
        <v>N/A</v>
      </c>
      <c r="BT20" s="80"/>
      <c r="BU20" s="95" t="str">
        <f t="shared" si="8"/>
        <v>N/A</v>
      </c>
      <c r="BV20" s="112"/>
      <c r="BW20" s="95" t="str">
        <f t="shared" si="9"/>
        <v>N/A</v>
      </c>
      <c r="BX20" s="80"/>
      <c r="BY20" s="95" t="str">
        <f t="shared" si="10"/>
        <v>N/A</v>
      </c>
      <c r="BZ20" s="114"/>
      <c r="CA20" s="95" t="str">
        <f t="shared" si="11"/>
        <v>N/A</v>
      </c>
      <c r="CB20" s="112"/>
      <c r="CC20" s="95" t="str">
        <f t="shared" si="12"/>
        <v>N/A</v>
      </c>
      <c r="CD20" s="80"/>
      <c r="CE20" s="95" t="str">
        <f t="shared" si="13"/>
        <v>N/A</v>
      </c>
      <c r="CF20" s="114"/>
      <c r="CG20" s="95" t="str">
        <f t="shared" si="14"/>
        <v>N/A</v>
      </c>
      <c r="CH20" s="80"/>
      <c r="CI20" s="95" t="str">
        <f t="shared" si="15"/>
        <v>N/A</v>
      </c>
      <c r="CJ20" s="80"/>
      <c r="CK20" s="95" t="str">
        <f t="shared" si="16"/>
        <v>N/A</v>
      </c>
      <c r="CL20" s="112"/>
      <c r="CM20" s="95" t="str">
        <f t="shared" si="17"/>
        <v>N/A</v>
      </c>
      <c r="CN20" s="112"/>
      <c r="CO20" s="95" t="str">
        <f t="shared" si="18"/>
        <v>N/A</v>
      </c>
      <c r="CP20" s="80"/>
      <c r="CQ20" s="95" t="str">
        <f t="shared" si="19"/>
        <v>N/A</v>
      </c>
      <c r="CR20" s="114"/>
      <c r="CS20" s="95" t="str">
        <f t="shared" si="20"/>
        <v>N/A</v>
      </c>
      <c r="CT20" s="80"/>
      <c r="CU20" s="276"/>
    </row>
    <row r="21" spans="1:105" ht="18" customHeight="1" x14ac:dyDescent="0.2">
      <c r="B21" s="224">
        <v>92</v>
      </c>
      <c r="C21" s="242">
        <v>14</v>
      </c>
      <c r="D21" s="239" t="s">
        <v>607</v>
      </c>
      <c r="E21" s="242" t="s">
        <v>315</v>
      </c>
      <c r="F21" s="582"/>
      <c r="G21" s="593"/>
      <c r="H21" s="582"/>
      <c r="I21" s="593"/>
      <c r="J21" s="582"/>
      <c r="K21" s="593"/>
      <c r="L21" s="582"/>
      <c r="M21" s="593"/>
      <c r="N21" s="582"/>
      <c r="O21" s="593"/>
      <c r="P21" s="582"/>
      <c r="Q21" s="593"/>
      <c r="R21" s="582"/>
      <c r="S21" s="593"/>
      <c r="T21" s="582"/>
      <c r="U21" s="593"/>
      <c r="V21" s="582"/>
      <c r="W21" s="593"/>
      <c r="X21" s="582"/>
      <c r="Y21" s="593"/>
      <c r="Z21" s="582"/>
      <c r="AA21" s="593"/>
      <c r="AB21" s="582"/>
      <c r="AC21" s="593"/>
      <c r="AD21" s="582"/>
      <c r="AE21" s="593"/>
      <c r="AF21" s="582"/>
      <c r="AG21" s="593"/>
      <c r="AH21" s="582"/>
      <c r="AI21" s="593"/>
      <c r="AJ21" s="582"/>
      <c r="AK21" s="593"/>
      <c r="AL21" s="582"/>
      <c r="AM21" s="593"/>
      <c r="AN21" s="582"/>
      <c r="AO21" s="593"/>
      <c r="AP21" s="582"/>
      <c r="AQ21" s="593"/>
      <c r="AR21" s="582"/>
      <c r="AS21" s="593"/>
      <c r="AT21" s="582"/>
      <c r="AU21" s="593"/>
      <c r="AV21" s="582"/>
      <c r="AW21" s="593"/>
      <c r="AZ21" s="80">
        <v>14</v>
      </c>
      <c r="BA21" s="443" t="s">
        <v>477</v>
      </c>
      <c r="BB21" s="80" t="s">
        <v>632</v>
      </c>
      <c r="BC21" s="80" t="s">
        <v>471</v>
      </c>
      <c r="BD21" s="114"/>
      <c r="BE21" s="95" t="str">
        <f t="shared" si="0"/>
        <v>N/A</v>
      </c>
      <c r="BF21" s="80"/>
      <c r="BG21" s="95" t="str">
        <f t="shared" si="1"/>
        <v>N/A</v>
      </c>
      <c r="BH21" s="80"/>
      <c r="BI21" s="95" t="str">
        <f t="shared" si="2"/>
        <v>N/A</v>
      </c>
      <c r="BJ21" s="80"/>
      <c r="BK21" s="95" t="str">
        <f t="shared" si="3"/>
        <v>N/A</v>
      </c>
      <c r="BL21" s="80"/>
      <c r="BM21" s="95" t="str">
        <f t="shared" si="4"/>
        <v>N/A</v>
      </c>
      <c r="BN21" s="80"/>
      <c r="BO21" s="95" t="str">
        <f t="shared" si="5"/>
        <v>N/A</v>
      </c>
      <c r="BP21" s="80"/>
      <c r="BQ21" s="95" t="str">
        <f t="shared" si="6"/>
        <v>N/A</v>
      </c>
      <c r="BR21" s="80"/>
      <c r="BS21" s="95" t="str">
        <f t="shared" si="7"/>
        <v>N/A</v>
      </c>
      <c r="BT21" s="80"/>
      <c r="BU21" s="95" t="str">
        <f t="shared" si="8"/>
        <v>N/A</v>
      </c>
      <c r="BV21" s="112"/>
      <c r="BW21" s="95" t="str">
        <f t="shared" si="9"/>
        <v>N/A</v>
      </c>
      <c r="BX21" s="114"/>
      <c r="BY21" s="95" t="str">
        <f t="shared" si="10"/>
        <v>N/A</v>
      </c>
      <c r="BZ21" s="114"/>
      <c r="CA21" s="95" t="str">
        <f t="shared" si="11"/>
        <v>N/A</v>
      </c>
      <c r="CB21" s="80"/>
      <c r="CC21" s="95" t="str">
        <f t="shared" si="12"/>
        <v>N/A</v>
      </c>
      <c r="CD21" s="114"/>
      <c r="CE21" s="95" t="str">
        <f t="shared" si="13"/>
        <v>N/A</v>
      </c>
      <c r="CF21" s="114"/>
      <c r="CG21" s="95" t="str">
        <f t="shared" si="14"/>
        <v>N/A</v>
      </c>
      <c r="CH21" s="80"/>
      <c r="CI21" s="95" t="str">
        <f t="shared" si="15"/>
        <v>N/A</v>
      </c>
      <c r="CJ21" s="80"/>
      <c r="CK21" s="95" t="str">
        <f t="shared" si="16"/>
        <v>N/A</v>
      </c>
      <c r="CL21" s="112"/>
      <c r="CM21" s="95" t="str">
        <f t="shared" si="17"/>
        <v>N/A</v>
      </c>
      <c r="CN21" s="112"/>
      <c r="CO21" s="95" t="str">
        <f t="shared" si="18"/>
        <v>N/A</v>
      </c>
      <c r="CP21" s="114"/>
      <c r="CQ21" s="95" t="str">
        <f t="shared" si="19"/>
        <v>N/A</v>
      </c>
      <c r="CR21" s="114"/>
      <c r="CS21" s="95" t="str">
        <f t="shared" si="20"/>
        <v>N/A</v>
      </c>
      <c r="CT21" s="80"/>
      <c r="CU21" s="276"/>
    </row>
    <row r="22" spans="1:105" ht="26.1" customHeight="1" x14ac:dyDescent="0.2">
      <c r="B22" s="224">
        <v>105</v>
      </c>
      <c r="C22" s="242">
        <v>15</v>
      </c>
      <c r="D22" s="251" t="s">
        <v>318</v>
      </c>
      <c r="E22" s="242" t="s">
        <v>315</v>
      </c>
      <c r="F22" s="582"/>
      <c r="G22" s="593"/>
      <c r="H22" s="582"/>
      <c r="I22" s="593"/>
      <c r="J22" s="582"/>
      <c r="K22" s="593"/>
      <c r="L22" s="582"/>
      <c r="M22" s="593"/>
      <c r="N22" s="582"/>
      <c r="O22" s="593"/>
      <c r="P22" s="582"/>
      <c r="Q22" s="593"/>
      <c r="R22" s="582"/>
      <c r="S22" s="593"/>
      <c r="T22" s="582"/>
      <c r="U22" s="593"/>
      <c r="V22" s="582"/>
      <c r="W22" s="593"/>
      <c r="X22" s="582"/>
      <c r="Y22" s="593"/>
      <c r="Z22" s="582"/>
      <c r="AA22" s="593"/>
      <c r="AB22" s="582"/>
      <c r="AC22" s="593"/>
      <c r="AD22" s="582"/>
      <c r="AE22" s="593"/>
      <c r="AF22" s="582"/>
      <c r="AG22" s="593"/>
      <c r="AH22" s="582"/>
      <c r="AI22" s="593"/>
      <c r="AJ22" s="582"/>
      <c r="AK22" s="593"/>
      <c r="AL22" s="582"/>
      <c r="AM22" s="593"/>
      <c r="AN22" s="582"/>
      <c r="AO22" s="593"/>
      <c r="AP22" s="582"/>
      <c r="AQ22" s="593"/>
      <c r="AR22" s="582"/>
      <c r="AS22" s="593"/>
      <c r="AT22" s="582"/>
      <c r="AU22" s="593"/>
      <c r="AV22" s="582"/>
      <c r="AW22" s="593"/>
      <c r="AZ22" s="80">
        <v>15</v>
      </c>
      <c r="BA22" s="252" t="s">
        <v>479</v>
      </c>
      <c r="BB22" s="80" t="s">
        <v>632</v>
      </c>
      <c r="BC22" s="80" t="s">
        <v>471</v>
      </c>
      <c r="BD22" s="114"/>
      <c r="BE22" s="95" t="str">
        <f t="shared" si="0"/>
        <v>N/A</v>
      </c>
      <c r="BF22" s="80"/>
      <c r="BG22" s="95" t="str">
        <f t="shared" si="1"/>
        <v>N/A</v>
      </c>
      <c r="BH22" s="80"/>
      <c r="BI22" s="95" t="str">
        <f t="shared" si="2"/>
        <v>N/A</v>
      </c>
      <c r="BJ22" s="80"/>
      <c r="BK22" s="95" t="str">
        <f t="shared" si="3"/>
        <v>N/A</v>
      </c>
      <c r="BL22" s="80"/>
      <c r="BM22" s="95" t="str">
        <f t="shared" si="4"/>
        <v>N/A</v>
      </c>
      <c r="BN22" s="80"/>
      <c r="BO22" s="95" t="str">
        <f t="shared" si="5"/>
        <v>N/A</v>
      </c>
      <c r="BP22" s="80"/>
      <c r="BQ22" s="95" t="str">
        <f t="shared" si="6"/>
        <v>N/A</v>
      </c>
      <c r="BR22" s="80"/>
      <c r="BS22" s="95" t="str">
        <f t="shared" si="7"/>
        <v>N/A</v>
      </c>
      <c r="BT22" s="80"/>
      <c r="BU22" s="95" t="str">
        <f t="shared" si="8"/>
        <v>N/A</v>
      </c>
      <c r="BV22" s="112"/>
      <c r="BW22" s="95" t="str">
        <f t="shared" si="9"/>
        <v>N/A</v>
      </c>
      <c r="BX22" s="114"/>
      <c r="BY22" s="95" t="str">
        <f t="shared" si="10"/>
        <v>N/A</v>
      </c>
      <c r="BZ22" s="114"/>
      <c r="CA22" s="95" t="str">
        <f t="shared" si="11"/>
        <v>N/A</v>
      </c>
      <c r="CB22" s="80"/>
      <c r="CC22" s="95" t="str">
        <f t="shared" si="12"/>
        <v>N/A</v>
      </c>
      <c r="CD22" s="114"/>
      <c r="CE22" s="95" t="str">
        <f t="shared" si="13"/>
        <v>N/A</v>
      </c>
      <c r="CF22" s="114"/>
      <c r="CG22" s="95" t="str">
        <f t="shared" si="14"/>
        <v>N/A</v>
      </c>
      <c r="CH22" s="80"/>
      <c r="CI22" s="95" t="str">
        <f t="shared" si="15"/>
        <v>N/A</v>
      </c>
      <c r="CJ22" s="80"/>
      <c r="CK22" s="95" t="str">
        <f t="shared" si="16"/>
        <v>N/A</v>
      </c>
      <c r="CL22" s="112"/>
      <c r="CM22" s="95" t="str">
        <f t="shared" si="17"/>
        <v>N/A</v>
      </c>
      <c r="CN22" s="112"/>
      <c r="CO22" s="95" t="str">
        <f t="shared" si="18"/>
        <v>N/A</v>
      </c>
      <c r="CP22" s="114"/>
      <c r="CQ22" s="95" t="str">
        <f t="shared" si="19"/>
        <v>N/A</v>
      </c>
      <c r="CR22" s="114"/>
      <c r="CS22" s="95" t="str">
        <f t="shared" si="20"/>
        <v>N/A</v>
      </c>
      <c r="CT22" s="80"/>
      <c r="CU22" s="276"/>
    </row>
    <row r="23" spans="1:105" s="625" customFormat="1" ht="18" customHeight="1" x14ac:dyDescent="0.2">
      <c r="A23" s="623"/>
      <c r="B23" s="224">
        <v>2414</v>
      </c>
      <c r="C23" s="247">
        <v>16</v>
      </c>
      <c r="D23" s="490" t="s">
        <v>319</v>
      </c>
      <c r="E23" s="242" t="s">
        <v>315</v>
      </c>
      <c r="F23" s="588"/>
      <c r="G23" s="594"/>
      <c r="H23" s="588"/>
      <c r="I23" s="594"/>
      <c r="J23" s="588"/>
      <c r="K23" s="594"/>
      <c r="L23" s="588"/>
      <c r="M23" s="594"/>
      <c r="N23" s="588"/>
      <c r="O23" s="594"/>
      <c r="P23" s="588"/>
      <c r="Q23" s="594"/>
      <c r="R23" s="588"/>
      <c r="S23" s="594"/>
      <c r="T23" s="588"/>
      <c r="U23" s="594"/>
      <c r="V23" s="588"/>
      <c r="W23" s="594"/>
      <c r="X23" s="588"/>
      <c r="Y23" s="594"/>
      <c r="Z23" s="588"/>
      <c r="AA23" s="594"/>
      <c r="AB23" s="588"/>
      <c r="AC23" s="594"/>
      <c r="AD23" s="588"/>
      <c r="AE23" s="594"/>
      <c r="AF23" s="588"/>
      <c r="AG23" s="594"/>
      <c r="AH23" s="588"/>
      <c r="AI23" s="594"/>
      <c r="AJ23" s="588"/>
      <c r="AK23" s="594"/>
      <c r="AL23" s="588"/>
      <c r="AM23" s="594"/>
      <c r="AN23" s="588">
        <v>905.56</v>
      </c>
      <c r="AO23" s="594" t="s">
        <v>634</v>
      </c>
      <c r="AP23" s="588">
        <v>912.19200000000001</v>
      </c>
      <c r="AQ23" s="594" t="s">
        <v>634</v>
      </c>
      <c r="AR23" s="588">
        <v>787.88499999999999</v>
      </c>
      <c r="AS23" s="594" t="s">
        <v>634</v>
      </c>
      <c r="AT23" s="588">
        <v>689.65499999999997</v>
      </c>
      <c r="AU23" s="594" t="s">
        <v>634</v>
      </c>
      <c r="AV23" s="588">
        <v>688.58600000000001</v>
      </c>
      <c r="AW23" s="594" t="s">
        <v>634</v>
      </c>
      <c r="AY23" s="626"/>
      <c r="AZ23" s="245">
        <v>16</v>
      </c>
      <c r="BA23" s="491" t="s">
        <v>485</v>
      </c>
      <c r="BB23" s="80" t="s">
        <v>632</v>
      </c>
      <c r="BC23" s="80" t="s">
        <v>471</v>
      </c>
      <c r="BD23" s="114"/>
      <c r="BE23" s="95" t="str">
        <f t="shared" si="0"/>
        <v>N/A</v>
      </c>
      <c r="BF23" s="80"/>
      <c r="BG23" s="95" t="str">
        <f t="shared" si="1"/>
        <v>N/A</v>
      </c>
      <c r="BH23" s="80"/>
      <c r="BI23" s="95" t="str">
        <f t="shared" si="2"/>
        <v>N/A</v>
      </c>
      <c r="BJ23" s="80"/>
      <c r="BK23" s="95" t="str">
        <f t="shared" si="3"/>
        <v>N/A</v>
      </c>
      <c r="BL23" s="80"/>
      <c r="BM23" s="95" t="str">
        <f t="shared" si="4"/>
        <v>N/A</v>
      </c>
      <c r="BN23" s="80"/>
      <c r="BO23" s="95" t="str">
        <f t="shared" si="5"/>
        <v>N/A</v>
      </c>
      <c r="BP23" s="80"/>
      <c r="BQ23" s="95" t="str">
        <f t="shared" si="6"/>
        <v>N/A</v>
      </c>
      <c r="BR23" s="80"/>
      <c r="BS23" s="95" t="str">
        <f t="shared" si="7"/>
        <v>N/A</v>
      </c>
      <c r="BT23" s="80"/>
      <c r="BU23" s="95" t="str">
        <f t="shared" si="8"/>
        <v>N/A</v>
      </c>
      <c r="BV23" s="80"/>
      <c r="BW23" s="95" t="str">
        <f t="shared" si="9"/>
        <v>N/A</v>
      </c>
      <c r="BX23" s="114"/>
      <c r="BY23" s="95" t="str">
        <f t="shared" si="10"/>
        <v>N/A</v>
      </c>
      <c r="BZ23" s="80"/>
      <c r="CA23" s="95" t="str">
        <f t="shared" si="11"/>
        <v>N/A</v>
      </c>
      <c r="CB23" s="80"/>
      <c r="CC23" s="95" t="str">
        <f t="shared" si="12"/>
        <v>N/A</v>
      </c>
      <c r="CD23" s="114"/>
      <c r="CE23" s="95" t="str">
        <f t="shared" si="13"/>
        <v>N/A</v>
      </c>
      <c r="CF23" s="80"/>
      <c r="CG23" s="95" t="str">
        <f t="shared" si="14"/>
        <v>N/A</v>
      </c>
      <c r="CH23" s="80"/>
      <c r="CI23" s="95" t="str">
        <f t="shared" si="15"/>
        <v>N/A</v>
      </c>
      <c r="CJ23" s="80"/>
      <c r="CK23" s="95" t="str">
        <f t="shared" si="16"/>
        <v>N/A</v>
      </c>
      <c r="CL23" s="80"/>
      <c r="CM23" s="95" t="str">
        <f t="shared" si="17"/>
        <v>ok</v>
      </c>
      <c r="CN23" s="80"/>
      <c r="CO23" s="95" t="str">
        <f t="shared" si="18"/>
        <v>ok</v>
      </c>
      <c r="CP23" s="114"/>
      <c r="CQ23" s="95" t="str">
        <f t="shared" si="19"/>
        <v>ok</v>
      </c>
      <c r="CR23" s="80"/>
      <c r="CS23" s="95" t="str">
        <f t="shared" si="20"/>
        <v>ok</v>
      </c>
      <c r="CT23" s="80"/>
      <c r="CU23" s="648"/>
    </row>
    <row r="24" spans="1:105" ht="18" customHeight="1" x14ac:dyDescent="0.2">
      <c r="B24" s="492">
        <v>160</v>
      </c>
      <c r="C24" s="383">
        <v>17</v>
      </c>
      <c r="D24" s="493" t="s">
        <v>330</v>
      </c>
      <c r="E24" s="383" t="s">
        <v>0</v>
      </c>
      <c r="F24" s="583"/>
      <c r="G24" s="595"/>
      <c r="H24" s="583"/>
      <c r="I24" s="595"/>
      <c r="J24" s="583"/>
      <c r="K24" s="595"/>
      <c r="L24" s="583"/>
      <c r="M24" s="595"/>
      <c r="N24" s="583"/>
      <c r="O24" s="595"/>
      <c r="P24" s="583"/>
      <c r="Q24" s="595"/>
      <c r="R24" s="583"/>
      <c r="S24" s="595"/>
      <c r="T24" s="583"/>
      <c r="U24" s="595"/>
      <c r="V24" s="583"/>
      <c r="W24" s="595"/>
      <c r="X24" s="583"/>
      <c r="Y24" s="595"/>
      <c r="Z24" s="583"/>
      <c r="AA24" s="595"/>
      <c r="AB24" s="583"/>
      <c r="AC24" s="595"/>
      <c r="AD24" s="583"/>
      <c r="AE24" s="595"/>
      <c r="AF24" s="583"/>
      <c r="AG24" s="595"/>
      <c r="AH24" s="583"/>
      <c r="AI24" s="595"/>
      <c r="AJ24" s="583"/>
      <c r="AK24" s="595"/>
      <c r="AL24" s="583"/>
      <c r="AM24" s="595"/>
      <c r="AN24" s="583"/>
      <c r="AO24" s="595"/>
      <c r="AP24" s="583"/>
      <c r="AQ24" s="595"/>
      <c r="AR24" s="583"/>
      <c r="AS24" s="595"/>
      <c r="AT24" s="583"/>
      <c r="AU24" s="595"/>
      <c r="AV24" s="583"/>
      <c r="AW24" s="595"/>
      <c r="AZ24" s="93">
        <v>17</v>
      </c>
      <c r="BA24" s="494" t="s">
        <v>432</v>
      </c>
      <c r="BB24" s="93" t="s">
        <v>0</v>
      </c>
      <c r="BC24" s="93" t="s">
        <v>471</v>
      </c>
      <c r="BD24" s="495"/>
      <c r="BE24" s="93" t="str">
        <f t="shared" si="0"/>
        <v>N/A</v>
      </c>
      <c r="BF24" s="93"/>
      <c r="BG24" s="93" t="str">
        <f t="shared" si="1"/>
        <v>N/A</v>
      </c>
      <c r="BH24" s="93"/>
      <c r="BI24" s="93" t="str">
        <f t="shared" si="2"/>
        <v>N/A</v>
      </c>
      <c r="BJ24" s="93"/>
      <c r="BK24" s="93" t="str">
        <f t="shared" si="3"/>
        <v>N/A</v>
      </c>
      <c r="BL24" s="93"/>
      <c r="BM24" s="93" t="str">
        <f t="shared" si="4"/>
        <v>N/A</v>
      </c>
      <c r="BN24" s="93"/>
      <c r="BO24" s="93" t="str">
        <f t="shared" si="5"/>
        <v>N/A</v>
      </c>
      <c r="BP24" s="93"/>
      <c r="BQ24" s="93" t="str">
        <f t="shared" si="6"/>
        <v>N/A</v>
      </c>
      <c r="BR24" s="93"/>
      <c r="BS24" s="93" t="str">
        <f t="shared" si="7"/>
        <v>N/A</v>
      </c>
      <c r="BT24" s="93"/>
      <c r="BU24" s="93" t="str">
        <f t="shared" si="8"/>
        <v>N/A</v>
      </c>
      <c r="BV24" s="93"/>
      <c r="BW24" s="93" t="str">
        <f t="shared" si="9"/>
        <v>N/A</v>
      </c>
      <c r="BX24" s="93"/>
      <c r="BY24" s="93" t="str">
        <f t="shared" si="10"/>
        <v>N/A</v>
      </c>
      <c r="BZ24" s="93"/>
      <c r="CA24" s="93" t="str">
        <f t="shared" si="11"/>
        <v>N/A</v>
      </c>
      <c r="CB24" s="93"/>
      <c r="CC24" s="93" t="str">
        <f t="shared" si="12"/>
        <v>N/A</v>
      </c>
      <c r="CD24" s="93"/>
      <c r="CE24" s="93" t="str">
        <f t="shared" si="13"/>
        <v>N/A</v>
      </c>
      <c r="CF24" s="93"/>
      <c r="CG24" s="93" t="str">
        <f t="shared" si="14"/>
        <v>N/A</v>
      </c>
      <c r="CH24" s="93"/>
      <c r="CI24" s="93" t="str">
        <f t="shared" si="15"/>
        <v>N/A</v>
      </c>
      <c r="CJ24" s="93"/>
      <c r="CK24" s="93" t="str">
        <f t="shared" si="16"/>
        <v>N/A</v>
      </c>
      <c r="CL24" s="93"/>
      <c r="CM24" s="93" t="str">
        <f t="shared" si="17"/>
        <v>N/A</v>
      </c>
      <c r="CN24" s="93"/>
      <c r="CO24" s="93" t="str">
        <f t="shared" si="18"/>
        <v>N/A</v>
      </c>
      <c r="CP24" s="93"/>
      <c r="CQ24" s="93" t="str">
        <f t="shared" si="19"/>
        <v>N/A</v>
      </c>
      <c r="CR24" s="93"/>
      <c r="CS24" s="93" t="str">
        <f t="shared" si="20"/>
        <v>N/A</v>
      </c>
      <c r="CT24" s="93"/>
      <c r="CU24" s="276"/>
    </row>
    <row r="25" spans="1:105" ht="3" customHeight="1" x14ac:dyDescent="0.2">
      <c r="C25" s="496"/>
      <c r="D25" s="203"/>
      <c r="E25" s="497"/>
      <c r="F25" s="203"/>
      <c r="G25" s="203"/>
      <c r="H25" s="203"/>
      <c r="I25" s="202"/>
      <c r="J25" s="202"/>
      <c r="K25" s="202"/>
      <c r="L25" s="202"/>
      <c r="M25" s="202"/>
      <c r="N25" s="202"/>
      <c r="O25" s="202"/>
      <c r="P25" s="286"/>
      <c r="Q25" s="202"/>
      <c r="R25" s="286"/>
      <c r="S25" s="202"/>
      <c r="T25" s="286"/>
      <c r="U25" s="202"/>
      <c r="V25" s="286"/>
      <c r="W25" s="202"/>
      <c r="X25" s="203"/>
      <c r="Y25" s="202"/>
      <c r="Z25" s="203"/>
      <c r="AA25" s="202"/>
      <c r="AB25" s="203"/>
      <c r="AC25" s="202"/>
      <c r="AD25" s="203"/>
      <c r="AE25" s="202"/>
      <c r="AF25" s="203"/>
      <c r="AG25" s="202"/>
      <c r="AH25" s="203"/>
      <c r="AI25" s="202"/>
      <c r="AJ25" s="286"/>
      <c r="AK25" s="202"/>
      <c r="AL25" s="203"/>
      <c r="AM25" s="202"/>
      <c r="AN25" s="203"/>
      <c r="AO25" s="334"/>
      <c r="AP25" s="334"/>
      <c r="AQ25" s="334"/>
      <c r="AR25" s="334"/>
      <c r="AS25" s="334"/>
      <c r="AZ25" s="498"/>
      <c r="BA25" s="94"/>
      <c r="BB25" s="499"/>
      <c r="BC25" s="500"/>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U25" s="276"/>
    </row>
    <row r="26" spans="1:105" ht="14.25" customHeight="1" x14ac:dyDescent="0.2">
      <c r="C26" s="347" t="s">
        <v>602</v>
      </c>
      <c r="D26" s="258"/>
      <c r="E26" s="453"/>
      <c r="F26" s="347"/>
      <c r="G26" s="347"/>
      <c r="AZ26" s="357" t="s">
        <v>630</v>
      </c>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425"/>
      <c r="CS26" s="425"/>
      <c r="CT26" s="425"/>
      <c r="CU26" s="276"/>
    </row>
    <row r="27" spans="1:105" ht="13.5" customHeight="1" x14ac:dyDescent="0.2">
      <c r="C27" s="273" t="s">
        <v>490</v>
      </c>
      <c r="D27" s="845" t="s">
        <v>320</v>
      </c>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5"/>
      <c r="AZ27" s="218" t="s">
        <v>600</v>
      </c>
      <c r="BA27" s="218" t="s">
        <v>601</v>
      </c>
      <c r="BB27" s="218" t="s">
        <v>603</v>
      </c>
      <c r="BC27" s="217">
        <v>1990</v>
      </c>
      <c r="BD27" s="217"/>
      <c r="BE27" s="218">
        <v>1995</v>
      </c>
      <c r="BF27" s="218"/>
      <c r="BG27" s="218">
        <v>1996</v>
      </c>
      <c r="BH27" s="218"/>
      <c r="BI27" s="218">
        <v>1997</v>
      </c>
      <c r="BJ27" s="218"/>
      <c r="BK27" s="218">
        <v>1998</v>
      </c>
      <c r="BL27" s="218"/>
      <c r="BM27" s="218">
        <v>1999</v>
      </c>
      <c r="BN27" s="218"/>
      <c r="BO27" s="218">
        <v>2000</v>
      </c>
      <c r="BP27" s="218"/>
      <c r="BQ27" s="218">
        <v>2001</v>
      </c>
      <c r="BR27" s="218"/>
      <c r="BS27" s="218">
        <v>2002</v>
      </c>
      <c r="BT27" s="218"/>
      <c r="BU27" s="218">
        <v>2003</v>
      </c>
      <c r="BV27" s="218"/>
      <c r="BW27" s="218">
        <v>2004</v>
      </c>
      <c r="BX27" s="218"/>
      <c r="BY27" s="218">
        <v>2005</v>
      </c>
      <c r="BZ27" s="218"/>
      <c r="CA27" s="218">
        <v>2006</v>
      </c>
      <c r="CB27" s="218"/>
      <c r="CC27" s="218">
        <v>2007</v>
      </c>
      <c r="CD27" s="218"/>
      <c r="CE27" s="218">
        <v>2008</v>
      </c>
      <c r="CF27" s="218"/>
      <c r="CG27" s="218">
        <v>2009</v>
      </c>
      <c r="CH27" s="218"/>
      <c r="CI27" s="218">
        <v>2010</v>
      </c>
      <c r="CJ27" s="218"/>
      <c r="CK27" s="218">
        <v>2011</v>
      </c>
      <c r="CL27" s="218"/>
      <c r="CM27" s="218">
        <v>2012</v>
      </c>
      <c r="CN27" s="218"/>
      <c r="CO27" s="218">
        <v>2013</v>
      </c>
      <c r="CP27" s="218"/>
      <c r="CQ27" s="218">
        <v>2014</v>
      </c>
      <c r="CR27" s="218"/>
      <c r="CS27" s="218">
        <v>2015</v>
      </c>
      <c r="CT27" s="219"/>
    </row>
    <row r="28" spans="1:105" ht="30" customHeight="1" x14ac:dyDescent="0.2">
      <c r="A28" s="275"/>
      <c r="B28" s="275"/>
      <c r="C28" s="273" t="s">
        <v>490</v>
      </c>
      <c r="D28" s="846" t="s">
        <v>181</v>
      </c>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6"/>
      <c r="AX28" s="846"/>
      <c r="AY28" s="387"/>
      <c r="AZ28" s="366">
        <v>1</v>
      </c>
      <c r="BA28" s="486" t="s">
        <v>474</v>
      </c>
      <c r="BB28" s="80" t="s">
        <v>632</v>
      </c>
      <c r="BC28" s="80">
        <f>F8</f>
        <v>0</v>
      </c>
      <c r="BD28" s="80"/>
      <c r="BE28" s="80">
        <f>H8</f>
        <v>0</v>
      </c>
      <c r="BF28" s="80"/>
      <c r="BG28" s="80">
        <f>J8</f>
        <v>0</v>
      </c>
      <c r="BH28" s="80"/>
      <c r="BI28" s="80">
        <f>L8</f>
        <v>0</v>
      </c>
      <c r="BJ28" s="80"/>
      <c r="BK28" s="80">
        <f>N8</f>
        <v>0</v>
      </c>
      <c r="BL28" s="80"/>
      <c r="BM28" s="80">
        <f>P8</f>
        <v>0</v>
      </c>
      <c r="BN28" s="80"/>
      <c r="BO28" s="80">
        <f>R8</f>
        <v>0</v>
      </c>
      <c r="BP28" s="80"/>
      <c r="BQ28" s="80">
        <f>T8</f>
        <v>0</v>
      </c>
      <c r="BR28" s="80"/>
      <c r="BS28" s="80">
        <f>V8</f>
        <v>0</v>
      </c>
      <c r="BT28" s="80"/>
      <c r="BU28" s="80">
        <f>X8</f>
        <v>0</v>
      </c>
      <c r="BV28" s="80"/>
      <c r="BW28" s="80">
        <f>Z8</f>
        <v>0</v>
      </c>
      <c r="BX28" s="80"/>
      <c r="BY28" s="80">
        <f>AB8</f>
        <v>0</v>
      </c>
      <c r="BZ28" s="80"/>
      <c r="CA28" s="80">
        <f>AD8</f>
        <v>0</v>
      </c>
      <c r="CB28" s="80"/>
      <c r="CC28" s="80">
        <f>AF8</f>
        <v>0</v>
      </c>
      <c r="CD28" s="80"/>
      <c r="CE28" s="80">
        <f>AH8</f>
        <v>0</v>
      </c>
      <c r="CF28" s="80"/>
      <c r="CG28" s="80">
        <f>AJ8</f>
        <v>0</v>
      </c>
      <c r="CH28" s="80"/>
      <c r="CI28" s="80">
        <f>AL8</f>
        <v>0</v>
      </c>
      <c r="CJ28" s="80"/>
      <c r="CK28" s="80">
        <f>AN8</f>
        <v>0</v>
      </c>
      <c r="CL28" s="80"/>
      <c r="CM28" s="80">
        <f>AP8</f>
        <v>0</v>
      </c>
      <c r="CN28" s="80"/>
      <c r="CO28" s="80">
        <f>AR8</f>
        <v>0</v>
      </c>
      <c r="CP28" s="80"/>
      <c r="CQ28" s="80">
        <f>AT8</f>
        <v>0</v>
      </c>
      <c r="CR28" s="80"/>
      <c r="CS28" s="80">
        <f>AV8</f>
        <v>2054.8000000000002</v>
      </c>
      <c r="CT28" s="238"/>
      <c r="CU28" s="276"/>
      <c r="CV28" s="276"/>
      <c r="CW28" s="276"/>
      <c r="CX28" s="276"/>
      <c r="CY28" s="276"/>
      <c r="CZ28" s="276"/>
      <c r="DA28" s="276"/>
    </row>
    <row r="29" spans="1:105" ht="30" customHeight="1" x14ac:dyDescent="0.2">
      <c r="A29" s="275"/>
      <c r="B29" s="275"/>
      <c r="C29" s="273" t="s">
        <v>490</v>
      </c>
      <c r="D29" s="845" t="s">
        <v>541</v>
      </c>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45"/>
      <c r="AV29" s="845"/>
      <c r="AW29" s="845"/>
      <c r="AX29" s="845"/>
      <c r="AY29" s="387"/>
      <c r="AZ29" s="299">
        <v>18</v>
      </c>
      <c r="BA29" s="281" t="s">
        <v>586</v>
      </c>
      <c r="BB29" s="80" t="s">
        <v>632</v>
      </c>
      <c r="BC29" s="80">
        <f>SUM(F9:F13)</f>
        <v>0</v>
      </c>
      <c r="BD29" s="80"/>
      <c r="BE29" s="80">
        <f>SUM(H9:H13)</f>
        <v>0</v>
      </c>
      <c r="BF29" s="80"/>
      <c r="BG29" s="80">
        <f>SUM(J9:J13)</f>
        <v>0</v>
      </c>
      <c r="BH29" s="80"/>
      <c r="BI29" s="80">
        <f>SUM(L9:L13)</f>
        <v>0</v>
      </c>
      <c r="BJ29" s="80"/>
      <c r="BK29" s="80">
        <f>SUM(N9:N13)</f>
        <v>0</v>
      </c>
      <c r="BL29" s="80"/>
      <c r="BM29" s="80">
        <f>SUM(P9:P13)</f>
        <v>0</v>
      </c>
      <c r="BN29" s="80"/>
      <c r="BO29" s="80">
        <f>SUM(R9:R13)</f>
        <v>0</v>
      </c>
      <c r="BP29" s="80"/>
      <c r="BQ29" s="80">
        <f>SUM(T9:T13)</f>
        <v>0</v>
      </c>
      <c r="BR29" s="80"/>
      <c r="BS29" s="80">
        <f>SUM(V9:V13)</f>
        <v>0</v>
      </c>
      <c r="BT29" s="80"/>
      <c r="BU29" s="80">
        <f>SUM(X9:X13)</f>
        <v>0</v>
      </c>
      <c r="BV29" s="80"/>
      <c r="BW29" s="80">
        <f>SUM(Z9:Z13)</f>
        <v>0</v>
      </c>
      <c r="BX29" s="80"/>
      <c r="BY29" s="80">
        <f>SUM(AB9:AB13)</f>
        <v>0</v>
      </c>
      <c r="BZ29" s="80"/>
      <c r="CA29" s="80">
        <f>SUM(AD9:AD13)</f>
        <v>0</v>
      </c>
      <c r="CB29" s="80"/>
      <c r="CC29" s="80">
        <f>SUM(AF9:AF13)</f>
        <v>0</v>
      </c>
      <c r="CD29" s="80"/>
      <c r="CE29" s="80">
        <f>SUM(AH9:AH13)</f>
        <v>0</v>
      </c>
      <c r="CF29" s="80"/>
      <c r="CG29" s="80">
        <f>SUM(AJ9:AJ13)</f>
        <v>0</v>
      </c>
      <c r="CH29" s="80"/>
      <c r="CI29" s="80">
        <f>SUM(AL9:AL13)</f>
        <v>1291.23</v>
      </c>
      <c r="CJ29" s="80"/>
      <c r="CK29" s="80">
        <f>SUM(AN9:AN13)</f>
        <v>1328.34</v>
      </c>
      <c r="CL29" s="80"/>
      <c r="CM29" s="80">
        <f>SUM(AP9:AP13)</f>
        <v>1388.12</v>
      </c>
      <c r="CN29" s="80"/>
      <c r="CO29" s="80">
        <f>SUM(AR9:AR13)</f>
        <v>1429.9</v>
      </c>
      <c r="CP29" s="80"/>
      <c r="CQ29" s="80">
        <f>SUM(AT9:AT13)</f>
        <v>1471.68</v>
      </c>
      <c r="CR29" s="80"/>
      <c r="CS29" s="80">
        <f>SUM(AV9:AV13)</f>
        <v>1513.46</v>
      </c>
      <c r="CT29" s="238"/>
      <c r="CU29" s="276"/>
      <c r="CV29" s="276"/>
      <c r="CW29" s="276"/>
      <c r="CX29" s="276"/>
      <c r="CY29" s="276"/>
      <c r="CZ29" s="276"/>
      <c r="DA29" s="276"/>
    </row>
    <row r="30" spans="1:105" ht="29.45" customHeight="1" x14ac:dyDescent="0.2">
      <c r="A30" s="275"/>
      <c r="B30" s="275"/>
      <c r="C30" s="273" t="s">
        <v>490</v>
      </c>
      <c r="D30" s="841" t="s">
        <v>626</v>
      </c>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1"/>
      <c r="AJ30" s="841"/>
      <c r="AK30" s="841"/>
      <c r="AL30" s="841"/>
      <c r="AM30" s="841"/>
      <c r="AN30" s="841"/>
      <c r="AO30" s="841"/>
      <c r="AP30" s="841"/>
      <c r="AQ30" s="841"/>
      <c r="AR30" s="841"/>
      <c r="AS30" s="841"/>
      <c r="AT30" s="841"/>
      <c r="AU30" s="841"/>
      <c r="AV30" s="841"/>
      <c r="AW30" s="841"/>
      <c r="AX30" s="841"/>
      <c r="AY30" s="387"/>
      <c r="AZ30" s="284" t="s">
        <v>494</v>
      </c>
      <c r="BA30" s="281" t="s">
        <v>587</v>
      </c>
      <c r="BB30" s="80"/>
      <c r="BC30" s="80" t="str">
        <f>IF(OR(ISBLANK(F8),ISBLANK(F9),ISBLANK(F10),ISBLANK(F11),ISBLANK(F12),ISBLANK(F13)),"N/A",IF((BC28=BC29),"ok","&lt;&gt;"))</f>
        <v>N/A</v>
      </c>
      <c r="BD30" s="80"/>
      <c r="BE30" s="80" t="str">
        <f>IF(OR(ISBLANK(H8),ISBLANK(H9),ISBLANK(H10),ISBLANK(H11),ISBLANK(H12),ISBLANK(H13)),"N/A",IF((BE28=BE29),"ok","&lt;&gt;"))</f>
        <v>N/A</v>
      </c>
      <c r="BF30" s="80"/>
      <c r="BG30" s="80" t="str">
        <f>IF(OR(ISBLANK(J8),ISBLANK(J9),ISBLANK(J10),ISBLANK(J11),ISBLANK(J12),ISBLANK(J13)),"N/A",IF((BG28=BG29),"ok","&lt;&gt;"))</f>
        <v>N/A</v>
      </c>
      <c r="BH30" s="80"/>
      <c r="BI30" s="80" t="str">
        <f>IF(OR(ISBLANK(L8),ISBLANK(L9),ISBLANK(L10),ISBLANK(L11),ISBLANK(L12),ISBLANK(L13)),"N/A",IF((BI28=BI29),"ok","&lt;&gt;"))</f>
        <v>N/A</v>
      </c>
      <c r="BJ30" s="80"/>
      <c r="BK30" s="80" t="str">
        <f>IF(OR(ISBLANK(N8),ISBLANK(N9),ISBLANK(N10),ISBLANK(N11),ISBLANK(N12),ISBLANK(N13)),"N/A",IF((BK28=BK29),"ok","&lt;&gt;"))</f>
        <v>N/A</v>
      </c>
      <c r="BL30" s="80"/>
      <c r="BM30" s="80" t="str">
        <f>IF(OR(ISBLANK(P8),ISBLANK(P9),ISBLANK(P10),ISBLANK(P11),ISBLANK(P12),ISBLANK(P13)),"N/A",IF((BM28=BM29),"ok","&lt;&gt;"))</f>
        <v>N/A</v>
      </c>
      <c r="BN30" s="80"/>
      <c r="BO30" s="80" t="str">
        <f>IF(OR(ISBLANK(R8),ISBLANK(R9),ISBLANK(R10),ISBLANK(R11),ISBLANK(R12),ISBLANK(R13)),"N/A",IF((BO28=BO29),"ok","&lt;&gt;"))</f>
        <v>N/A</v>
      </c>
      <c r="BP30" s="80"/>
      <c r="BQ30" s="80" t="str">
        <f>IF(OR(ISBLANK(T8),ISBLANK(T9),ISBLANK(T10),ISBLANK(T11),ISBLANK(T12),ISBLANK(T13)),"N/A",IF((BQ28=BQ29),"ok","&lt;&gt;"))</f>
        <v>N/A</v>
      </c>
      <c r="BR30" s="80"/>
      <c r="BS30" s="80" t="str">
        <f>IF(OR(ISBLANK(V8),ISBLANK(V9),ISBLANK(V10),ISBLANK(V11),ISBLANK(V12),ISBLANK(V13)),"N/A",IF((BS28=BS29),"ok","&lt;&gt;"))</f>
        <v>N/A</v>
      </c>
      <c r="BT30" s="80"/>
      <c r="BU30" s="80" t="str">
        <f>IF(OR(ISBLANK(X8),ISBLANK(X9),ISBLANK(X10),ISBLANK(X11),ISBLANK(X12),ISBLANK(X13)),"N/A",IF((BU28=BU29),"ok","&lt;&gt;"))</f>
        <v>N/A</v>
      </c>
      <c r="BV30" s="80"/>
      <c r="BW30" s="80" t="str">
        <f>IF(OR(ISBLANK(Z8),ISBLANK(Z9),ISBLANK(Z10),ISBLANK(Z11),ISBLANK(Z12),ISBLANK(Z13)),"N/A",IF((BW28=BW29),"ok","&lt;&gt;"))</f>
        <v>N/A</v>
      </c>
      <c r="BX30" s="80"/>
      <c r="BY30" s="112" t="str">
        <f>IF(OR(ISBLANK(AB8),ISBLANK(AB9),ISBLANK(AB10),ISBLANK(AB11),ISBLANK(AB12),ISBLANK(AB13)),"N/A",IF((BY28=BY29),"ok","&lt;&gt;"))</f>
        <v>N/A</v>
      </c>
      <c r="BZ30" s="80"/>
      <c r="CA30" s="80" t="str">
        <f>IF(OR(ISBLANK(AD8),ISBLANK(AD9),ISBLANK(AD10),ISBLANK(AD11),ISBLANK(AD12),ISBLANK(AD13)),"N/A",IF((CA28=CA29),"ok","&lt;&gt;"))</f>
        <v>N/A</v>
      </c>
      <c r="CB30" s="80"/>
      <c r="CC30" s="80" t="str">
        <f>IF(OR(ISBLANK(AF8),ISBLANK(AF9),ISBLANK(AF10),ISBLANK(AF11),ISBLANK(AF12),ISBLANK(AF13)),"N/A",IF((CC28=CC29),"ok","&lt;&gt;"))</f>
        <v>N/A</v>
      </c>
      <c r="CD30" s="80"/>
      <c r="CE30" s="80" t="str">
        <f>IF(OR(ISBLANK(AH8),ISBLANK(AH9),ISBLANK(AH10),ISBLANK(AH11),ISBLANK(AH12),ISBLANK(AH13)),"N/A",IF((CE28=CE29),"ok","&lt;&gt;"))</f>
        <v>N/A</v>
      </c>
      <c r="CF30" s="80"/>
      <c r="CG30" s="80" t="str">
        <f>IF(OR(ISBLANK(AJ8),ISBLANK(AJ9),ISBLANK(AJ10),ISBLANK(AJ11),ISBLANK(AJ12),ISBLANK(AJ13)),"N/A",IF((CG28=CG29),"ok","&lt;&gt;"))</f>
        <v>N/A</v>
      </c>
      <c r="CH30" s="80"/>
      <c r="CI30" s="80" t="str">
        <f>IF(OR(ISBLANK(AL8),ISBLANK(AL9),ISBLANK(AL10),ISBLANK(AL11),ISBLANK(AL12),ISBLANK(AL13)),"N/A",IF((CI28=CI29),"ok","&lt;&gt;"))</f>
        <v>N/A</v>
      </c>
      <c r="CJ30" s="80"/>
      <c r="CK30" s="80" t="str">
        <f>IF(OR(ISBLANK(AN8),ISBLANK(AN9),ISBLANK(AN10),ISBLANK(AN11),ISBLANK(AN12),ISBLANK(AN13)),"N/A",IF((CK28=CK29),"ok","&lt;&gt;"))</f>
        <v>N/A</v>
      </c>
      <c r="CL30" s="80"/>
      <c r="CM30" s="80" t="str">
        <f>IF(OR(ISBLANK(AP8),ISBLANK(AP9),ISBLANK(AP10),ISBLANK(AP11),ISBLANK(AP12),ISBLANK(AP13)),"N/A",IF((CM28=CM29),"ok","&lt;&gt;"))</f>
        <v>N/A</v>
      </c>
      <c r="CN30" s="80"/>
      <c r="CO30" s="80" t="str">
        <f>IF(OR(ISBLANK(AR8),ISBLANK(AR9),ISBLANK(AR10),ISBLANK(AR11),ISBLANK(AR12),ISBLANK(AR13)),"N/A",IF((CO28=CO29),"ok","&lt;&gt;"))</f>
        <v>N/A</v>
      </c>
      <c r="CP30" s="80"/>
      <c r="CQ30" s="112" t="str">
        <f>IF(OR(ISBLANK(AT8),ISBLANK(AT9),ISBLANK(AT10),ISBLANK(AT11),ISBLANK(AT12),ISBLANK(AT13)),"N/A",IF((CQ28=CQ29),"ok","&lt;&gt;"))</f>
        <v>N/A</v>
      </c>
      <c r="CR30" s="80"/>
      <c r="CS30" s="80" t="str">
        <f>IF(OR(ISBLANK(AV8),ISBLANK(AV9),ISBLANK(AV10),ISBLANK(AV11),ISBLANK(AV12),ISBLANK(AV13)),"N/A",IF((CS28=CS29),"ok","&lt;&gt;"))</f>
        <v>N/A</v>
      </c>
      <c r="CT30" s="238"/>
      <c r="CU30" s="276"/>
      <c r="CV30" s="276"/>
      <c r="CW30" s="276"/>
      <c r="CX30" s="276"/>
      <c r="CY30" s="276"/>
      <c r="CZ30" s="276"/>
      <c r="DA30" s="276"/>
    </row>
    <row r="31" spans="1:105" ht="36" customHeight="1" x14ac:dyDescent="0.2">
      <c r="A31" s="275"/>
      <c r="B31" s="275"/>
      <c r="C31" s="273"/>
      <c r="D31" s="501" t="str">
        <f>D9 &amp; " (W4,2)"</f>
        <v>par :
        Agriculture, sylviculture et pêche
        (division 1 à 3 de la CITI) (W4,2)</v>
      </c>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86"/>
      <c r="AJ31" s="502"/>
      <c r="AK31" s="502"/>
      <c r="AL31" s="502"/>
      <c r="AM31" s="842" t="str">
        <f>D14&amp; " (W4,7)"</f>
        <v>Eaux usées traitées dans des stations d’épuration des eaux usées urbaines (W4,7)</v>
      </c>
      <c r="AN31" s="843"/>
      <c r="AO31" s="843"/>
      <c r="AP31" s="843"/>
      <c r="AQ31" s="843"/>
      <c r="AR31" s="843"/>
      <c r="AS31" s="843"/>
      <c r="AT31" s="844"/>
      <c r="AU31" s="277"/>
      <c r="AV31" s="277"/>
      <c r="AW31" s="277"/>
      <c r="AX31" s="277"/>
      <c r="AY31" s="387"/>
      <c r="AZ31" s="299">
        <v>19</v>
      </c>
      <c r="BA31" s="281" t="s">
        <v>588</v>
      </c>
      <c r="BB31" s="80" t="s">
        <v>632</v>
      </c>
      <c r="BC31" s="80">
        <f>F14+F18+F22+F23</f>
        <v>0</v>
      </c>
      <c r="BD31" s="80"/>
      <c r="BE31" s="80">
        <f>H14+H18+H22+H23</f>
        <v>0</v>
      </c>
      <c r="BF31" s="80"/>
      <c r="BG31" s="80">
        <f>J14+J18+J22+J23</f>
        <v>0</v>
      </c>
      <c r="BH31" s="80"/>
      <c r="BI31" s="80">
        <f>L14+L18+L22+L23</f>
        <v>0</v>
      </c>
      <c r="BJ31" s="80"/>
      <c r="BK31" s="80">
        <f>N14+N18+N22+N23</f>
        <v>0</v>
      </c>
      <c r="BL31" s="80"/>
      <c r="BM31" s="80">
        <f>P14+P18+P22+P23</f>
        <v>0</v>
      </c>
      <c r="BN31" s="80"/>
      <c r="BO31" s="80">
        <f>R14+R18+R22+R23</f>
        <v>0</v>
      </c>
      <c r="BP31" s="80"/>
      <c r="BQ31" s="80">
        <f>T14+T18+T22+T23</f>
        <v>0</v>
      </c>
      <c r="BR31" s="80"/>
      <c r="BS31" s="80">
        <f>V14+V18+V22+V23</f>
        <v>0</v>
      </c>
      <c r="BT31" s="80"/>
      <c r="BU31" s="80">
        <f>X14+X18+X22+X23</f>
        <v>0</v>
      </c>
      <c r="BV31" s="80"/>
      <c r="BW31" s="80">
        <f>Z14+Z18+Z22+Z23</f>
        <v>0</v>
      </c>
      <c r="BX31" s="80"/>
      <c r="BY31" s="112">
        <f>AB14+AB18+AB22+AB23</f>
        <v>0</v>
      </c>
      <c r="BZ31" s="80"/>
      <c r="CA31" s="80">
        <f>AD14+AD18+AD22+AD23</f>
        <v>0</v>
      </c>
      <c r="CB31" s="80"/>
      <c r="CC31" s="80">
        <f>AF14+AF18+AF22+AF23</f>
        <v>0</v>
      </c>
      <c r="CD31" s="80"/>
      <c r="CE31" s="80">
        <f>AH14+AH18+AH22+AH23</f>
        <v>0</v>
      </c>
      <c r="CF31" s="80"/>
      <c r="CG31" s="80">
        <f>AJ14+AJ18+AJ22+AJ23</f>
        <v>0</v>
      </c>
      <c r="CH31" s="112"/>
      <c r="CI31" s="112">
        <f>AL14+AL18+AL22+AL23</f>
        <v>0</v>
      </c>
      <c r="CJ31" s="80"/>
      <c r="CK31" s="80">
        <f>AN14+AN18+AN22+AN23</f>
        <v>905.56</v>
      </c>
      <c r="CL31" s="80"/>
      <c r="CM31" s="80">
        <f>AP14+AP18+AP22+AP23</f>
        <v>912.19200000000001</v>
      </c>
      <c r="CN31" s="112"/>
      <c r="CO31" s="112">
        <f>AR14+AR18+AR22+AR23</f>
        <v>787.88499999999999</v>
      </c>
      <c r="CP31" s="80"/>
      <c r="CQ31" s="112">
        <f>AT14+AT18+AT22+AT23</f>
        <v>689.65499999999997</v>
      </c>
      <c r="CR31" s="80"/>
      <c r="CS31" s="80">
        <f>AV14+AV18+AV22+AV23</f>
        <v>1513.386</v>
      </c>
      <c r="CT31" s="238"/>
      <c r="CU31" s="276"/>
      <c r="CV31" s="276"/>
      <c r="CW31" s="276"/>
      <c r="CX31" s="276"/>
      <c r="CY31" s="276"/>
      <c r="CZ31" s="276"/>
      <c r="DA31" s="276"/>
    </row>
    <row r="32" spans="1:105" ht="6" customHeight="1" x14ac:dyDescent="0.2">
      <c r="A32" s="275"/>
      <c r="B32" s="275"/>
      <c r="C32" s="273"/>
      <c r="D32" s="503"/>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504"/>
      <c r="AJ32" s="504"/>
      <c r="AK32" s="504"/>
      <c r="AL32" s="504"/>
      <c r="AM32" s="505"/>
      <c r="AN32" s="505"/>
      <c r="AO32" s="505"/>
      <c r="AP32" s="505"/>
      <c r="AQ32" s="503"/>
      <c r="AR32" s="503"/>
      <c r="AS32" s="503"/>
      <c r="AT32" s="503"/>
      <c r="AU32" s="277"/>
      <c r="AV32" s="277"/>
      <c r="AW32" s="277"/>
      <c r="AX32" s="277"/>
      <c r="AY32" s="387"/>
      <c r="AZ32" s="284"/>
      <c r="BA32" s="281"/>
      <c r="BB32" s="80"/>
      <c r="BC32" s="80"/>
      <c r="BD32" s="80"/>
      <c r="BE32" s="80"/>
      <c r="BF32" s="80"/>
      <c r="BG32" s="80"/>
      <c r="BH32" s="80"/>
      <c r="BI32" s="80"/>
      <c r="BJ32" s="80"/>
      <c r="BK32" s="80"/>
      <c r="BL32" s="80"/>
      <c r="BM32" s="80"/>
      <c r="BN32" s="80"/>
      <c r="BO32" s="80"/>
      <c r="BP32" s="80"/>
      <c r="BQ32" s="80"/>
      <c r="BR32" s="80"/>
      <c r="BS32" s="80"/>
      <c r="BT32" s="80"/>
      <c r="BU32" s="80"/>
      <c r="BV32" s="80"/>
      <c r="BW32" s="80"/>
      <c r="BX32" s="112"/>
      <c r="BY32" s="112"/>
      <c r="BZ32" s="112"/>
      <c r="CA32" s="80"/>
      <c r="CB32" s="80"/>
      <c r="CC32" s="80"/>
      <c r="CD32" s="80"/>
      <c r="CE32" s="80"/>
      <c r="CF32" s="80"/>
      <c r="CG32" s="80"/>
      <c r="CH32" s="80"/>
      <c r="CI32" s="80"/>
      <c r="CJ32" s="112"/>
      <c r="CK32" s="112"/>
      <c r="CL32" s="112"/>
      <c r="CM32" s="80"/>
      <c r="CN32" s="114"/>
      <c r="CO32" s="114"/>
      <c r="CP32" s="114"/>
      <c r="CQ32" s="112"/>
      <c r="CR32" s="112"/>
      <c r="CS32" s="80"/>
      <c r="CT32" s="238"/>
      <c r="CU32" s="276"/>
      <c r="CV32" s="276"/>
      <c r="CW32" s="276"/>
      <c r="CX32" s="276"/>
      <c r="CY32" s="276"/>
      <c r="CZ32" s="276"/>
      <c r="DA32" s="276"/>
    </row>
    <row r="33" spans="1:105" ht="26.25" customHeight="1" x14ac:dyDescent="0.2">
      <c r="A33" s="275"/>
      <c r="B33" s="275"/>
      <c r="C33" s="273"/>
      <c r="D33" s="501" t="str">
        <f>D10 &amp; " (W4,3)"</f>
        <v>Activités de fabrication (division 10 à 33 de la CITI) (W4,3)</v>
      </c>
      <c r="E33" s="277"/>
      <c r="F33" s="277"/>
      <c r="G33" s="277"/>
      <c r="H33" s="277"/>
      <c r="I33" s="277"/>
      <c r="J33" s="277"/>
      <c r="K33" s="277"/>
      <c r="L33" s="277"/>
      <c r="M33" s="277"/>
      <c r="N33" s="277"/>
      <c r="O33" s="277"/>
      <c r="P33" s="277"/>
      <c r="Q33" s="277"/>
      <c r="R33" s="277"/>
      <c r="S33" s="277"/>
      <c r="T33" s="277"/>
      <c r="U33" s="277"/>
      <c r="V33" s="277"/>
      <c r="W33" s="277"/>
      <c r="X33" s="504"/>
      <c r="Y33" s="575"/>
      <c r="Z33" s="840" t="str">
        <f>D8 &amp; " (W4,1)"</f>
        <v>Volume total d’eaux usées produites (W4,1)</v>
      </c>
      <c r="AA33" s="791"/>
      <c r="AB33" s="791"/>
      <c r="AC33" s="791"/>
      <c r="AD33" s="791"/>
      <c r="AE33" s="791"/>
      <c r="AF33" s="791"/>
      <c r="AG33" s="792"/>
      <c r="AH33" s="277"/>
      <c r="AI33" s="505"/>
      <c r="AJ33" s="505"/>
      <c r="AK33" s="505"/>
      <c r="AL33" s="505"/>
      <c r="AM33" s="842" t="str">
        <f>D18&amp; " (W4,11)"</f>
        <v>Eaux usées traitées dans d’autres stations d’épuration (W4,11)</v>
      </c>
      <c r="AN33" s="843"/>
      <c r="AO33" s="843"/>
      <c r="AP33" s="843"/>
      <c r="AQ33" s="843"/>
      <c r="AR33" s="843"/>
      <c r="AS33" s="843"/>
      <c r="AT33" s="844"/>
      <c r="AU33" s="277"/>
      <c r="AV33" s="277"/>
      <c r="AW33" s="277"/>
      <c r="AX33" s="277"/>
      <c r="AY33" s="387"/>
      <c r="AZ33" s="284" t="s">
        <v>494</v>
      </c>
      <c r="BA33" s="506" t="s">
        <v>589</v>
      </c>
      <c r="BB33" s="80"/>
      <c r="BC33" s="80" t="str">
        <f>IF(OR(ISBLANK(F8),ISBLANK(F14),ISBLANK(F18),ISBLANK(F22),ISBLANK(F23)),"N/A",IF((BC28=BC31),"ok","&lt;&gt;"))</f>
        <v>N/A</v>
      </c>
      <c r="BD33" s="80"/>
      <c r="BE33" s="80" t="str">
        <f>IF(OR(ISBLANK(H8),ISBLANK(H14),ISBLANK(H18),ISBLANK(H22),ISBLANK(H23)),"N/A",IF((BE28=BE31),"ok","&lt;&gt;"))</f>
        <v>N/A</v>
      </c>
      <c r="BF33" s="80"/>
      <c r="BG33" s="80" t="str">
        <f>IF(OR(ISBLANK(M8),ISBLANK(M14),ISBLANK(M18),ISBLANK(M22),ISBLANK(M23)),"N/A",IF((BG28=BG31),"ok","&lt;&gt;"))</f>
        <v>N/A</v>
      </c>
      <c r="BH33" s="113"/>
      <c r="BI33" s="113" t="str">
        <f>IF(OR(ISBLANK(O8),ISBLANK(O14),ISBLANK(O18),ISBLANK(O22),ISBLANK(O23)),"N/A",IF((BI28=BI31),"ok","&lt;&gt;"))</f>
        <v>N/A</v>
      </c>
      <c r="BJ33" s="114"/>
      <c r="BK33" s="112" t="str">
        <f>IF(OR(ISBLANK(Q8),ISBLANK(Q14),ISBLANK(Q18),ISBLANK(Q22),ISBLANK(Q23)),"N/A",IF((BK28=BK31),"ok","&lt;&gt;"))</f>
        <v>N/A</v>
      </c>
      <c r="BL33" s="112"/>
      <c r="BM33" s="80" t="str">
        <f>IF(OR(ISBLANK(P8),ISBLANK(P14),ISBLANK(P18),ISBLANK(P22),ISBLANK(P23)),"N/A",IF((BM28=BM31),"ok","&lt;&gt;"))</f>
        <v>N/A</v>
      </c>
      <c r="BN33" s="113"/>
      <c r="BO33" s="113" t="str">
        <f>IF(OR(ISBLANK(R8),ISBLANK(R14),ISBLANK(R18),ISBLANK(R22),ISBLANK(R23)),"N/A",IF((BO28=BO31),"ok","&lt;&gt;"))</f>
        <v>N/A</v>
      </c>
      <c r="BP33" s="114"/>
      <c r="BQ33" s="112" t="str">
        <f>IF(OR(ISBLANK(T8),ISBLANK(T14),ISBLANK(T18),ISBLANK(T22),ISBLANK(T23)),"N/A",IF((BQ28=BQ31),"ok","&lt;&gt;"))</f>
        <v>N/A</v>
      </c>
      <c r="BR33" s="114"/>
      <c r="BS33" s="113" t="str">
        <f>IF(OR(ISBLANK(V8),ISBLANK(V14),ISBLANK(V18),ISBLANK(V22),ISBLANK(V23)),"N/A",IF((BS28=BS31),"ok","&lt;&gt;"))</f>
        <v>N/A</v>
      </c>
      <c r="BT33" s="114"/>
      <c r="BU33" s="112" t="str">
        <f>IF(OR(ISBLANK(X8),ISBLANK(X14),ISBLANK(X18),ISBLANK(X22),ISBLANK(X23)),"N/A",IF((BU28=BU31),"ok","&lt;&gt;"))</f>
        <v>N/A</v>
      </c>
      <c r="BV33" s="112"/>
      <c r="BW33" s="112" t="str">
        <f>IF(OR(ISBLANK(Z8),ISBLANK(Z14),ISBLANK(Z18),ISBLANK(Z22),ISBLANK(Z23)),"N/A",IF((BW28=BW31),"ok","&lt;&gt;"))</f>
        <v>N/A</v>
      </c>
      <c r="BX33" s="112"/>
      <c r="BY33" s="112" t="str">
        <f>IF(OR(ISBLANK(AB8),ISBLANK(AB14),ISBLANK(AB18),ISBLANK(AB22),ISBLANK(AB23)),"N/A",IF((BY28=BY31),"ok","&lt;&gt;"))</f>
        <v>N/A</v>
      </c>
      <c r="BZ33" s="114"/>
      <c r="CA33" s="113" t="str">
        <f>IF(OR(ISBLANK(AD8),ISBLANK(AD14),ISBLANK(AD18),ISBLANK(AD22),ISBLANK(AD23)),"N/A",IF((CA28=CA31),"ok","&lt;&gt;"))</f>
        <v>N/A</v>
      </c>
      <c r="CB33" s="113"/>
      <c r="CC33" s="80" t="str">
        <f>IF(OR(ISBLANK(AF8),ISBLANK(AF14),ISBLANK(AF18),ISBLANK(AF22),ISBLANK(AF23)),"N/A",IF((CC28=CC31),"ok","&lt;&gt;"))</f>
        <v>N/A</v>
      </c>
      <c r="CD33" s="80"/>
      <c r="CE33" s="80" t="str">
        <f>IF(OR(ISBLANK(AH8),ISBLANK(AH14),ISBLANK(AH18),ISBLANK(AH22),ISBLANK(AH23)),"N/A",IF((CE28=CE31),"ok","&lt;&gt;"))</f>
        <v>N/A</v>
      </c>
      <c r="CF33" s="80"/>
      <c r="CG33" s="80" t="str">
        <f>IF(OR(ISBLANK(AJ8),ISBLANK(AJ14),ISBLANK(AJ18),ISBLANK(AJ22),ISBLANK(AJ23)),"N/A",IF((CG28=CG31),"ok","&lt;&gt;"))</f>
        <v>N/A</v>
      </c>
      <c r="CH33" s="80"/>
      <c r="CI33" s="80" t="str">
        <f>IF(OR(ISBLANK(AL8),ISBLANK(AL14),ISBLANK(AL18),ISBLANK(AL22),ISBLANK(AL23)),"N/A",IF((CI28=CI31),"ok","&lt;&gt;"))</f>
        <v>N/A</v>
      </c>
      <c r="CJ33" s="114"/>
      <c r="CK33" s="114" t="str">
        <f>IF(OR(ISBLANK(AN8),ISBLANK(AN14),ISBLANK(AN18),ISBLANK(AN22),ISBLANK(AN23)),"N/A",IF((CK28=CK31),"ok","&lt;&gt;"))</f>
        <v>N/A</v>
      </c>
      <c r="CL33" s="114"/>
      <c r="CM33" s="80" t="str">
        <f>IF(OR(ISBLANK(AP8),ISBLANK(AP14),ISBLANK(AP18),ISBLANK(AP22),ISBLANK(AP23)),"N/A",IF((CM28=CM31),"ok","&lt;&gt;"))</f>
        <v>N/A</v>
      </c>
      <c r="CN33" s="114"/>
      <c r="CO33" s="114" t="str">
        <f>IF(OR(ISBLANK(AR8),ISBLANK(AR14),ISBLANK(AR18),ISBLANK(AR22),ISBLANK(AR23)),"N/A",IF((CO28=CO31),"ok","&lt;&gt;"))</f>
        <v>N/A</v>
      </c>
      <c r="CP33" s="114"/>
      <c r="CQ33" s="80" t="str">
        <f>IF(OR(ISBLANK(AT8),ISBLANK(AT14),ISBLANK(AT18),ISBLANK(AT22),ISBLANK(AT23)),"N/A",IF((CQ28=CQ31),"ok","&lt;&gt;"))</f>
        <v>N/A</v>
      </c>
      <c r="CR33" s="80"/>
      <c r="CS33" s="80" t="str">
        <f>IF(OR(ISBLANK(AV8),ISBLANK(AV14),ISBLANK(AV18),ISBLANK(AV22),ISBLANK(AV23)),"N/A",IF((CS28=CS31),"ok","&lt;&gt;"))</f>
        <v>N/A</v>
      </c>
      <c r="CT33" s="238"/>
      <c r="CU33" s="276"/>
      <c r="CV33" s="276"/>
      <c r="CW33" s="276"/>
      <c r="CX33" s="276"/>
      <c r="CY33" s="276"/>
      <c r="CZ33" s="276"/>
      <c r="DA33" s="276"/>
    </row>
    <row r="34" spans="1:105" ht="8.25" customHeight="1" x14ac:dyDescent="0.2">
      <c r="A34" s="275"/>
      <c r="B34" s="275"/>
      <c r="C34" s="273"/>
      <c r="D34" s="503"/>
      <c r="E34" s="277"/>
      <c r="F34" s="277"/>
      <c r="G34" s="277"/>
      <c r="H34" s="277"/>
      <c r="I34" s="277"/>
      <c r="J34" s="277"/>
      <c r="K34" s="277"/>
      <c r="L34" s="277"/>
      <c r="M34" s="277"/>
      <c r="N34" s="277"/>
      <c r="O34" s="277"/>
      <c r="P34" s="277"/>
      <c r="Q34" s="277"/>
      <c r="R34" s="277"/>
      <c r="S34" s="277"/>
      <c r="T34" s="277"/>
      <c r="U34" s="277"/>
      <c r="V34" s="277"/>
      <c r="W34" s="277"/>
      <c r="X34" s="504"/>
      <c r="Y34" s="505"/>
      <c r="Z34" s="793"/>
      <c r="AA34" s="794"/>
      <c r="AB34" s="794"/>
      <c r="AC34" s="794"/>
      <c r="AD34" s="794"/>
      <c r="AE34" s="794"/>
      <c r="AF34" s="794"/>
      <c r="AG34" s="795"/>
      <c r="AH34" s="277"/>
      <c r="AI34" s="504"/>
      <c r="AJ34" s="504"/>
      <c r="AK34" s="504"/>
      <c r="AL34" s="504"/>
      <c r="AM34" s="505"/>
      <c r="AN34" s="505"/>
      <c r="AO34" s="505"/>
      <c r="AP34" s="505"/>
      <c r="AQ34" s="503"/>
      <c r="AR34" s="503"/>
      <c r="AS34" s="503"/>
      <c r="AT34" s="503"/>
      <c r="AU34" s="277"/>
      <c r="AV34" s="277"/>
      <c r="AW34" s="277"/>
      <c r="AX34" s="277"/>
      <c r="AY34" s="387"/>
      <c r="AZ34" s="507"/>
      <c r="BA34" s="508"/>
      <c r="BB34" s="509"/>
      <c r="BC34" s="114"/>
      <c r="BD34" s="511"/>
      <c r="BE34" s="510"/>
      <c r="BF34" s="510"/>
      <c r="BG34" s="245"/>
      <c r="BH34" s="511"/>
      <c r="BI34" s="511"/>
      <c r="BJ34" s="511"/>
      <c r="BK34" s="511"/>
      <c r="BL34" s="511"/>
      <c r="BM34" s="245"/>
      <c r="BN34" s="511"/>
      <c r="BO34" s="511"/>
      <c r="BP34" s="511"/>
      <c r="BQ34" s="511"/>
      <c r="BR34" s="511"/>
      <c r="BS34" s="511"/>
      <c r="BT34" s="511"/>
      <c r="BU34" s="245"/>
      <c r="BV34" s="245"/>
      <c r="BW34" s="80"/>
      <c r="BX34" s="511"/>
      <c r="BY34" s="511"/>
      <c r="BZ34" s="511"/>
      <c r="CA34" s="80"/>
      <c r="CB34" s="245"/>
      <c r="CC34" s="245"/>
      <c r="CD34" s="245"/>
      <c r="CE34" s="245"/>
      <c r="CF34" s="245"/>
      <c r="CG34" s="245"/>
      <c r="CH34" s="245"/>
      <c r="CI34" s="245"/>
      <c r="CJ34" s="511"/>
      <c r="CK34" s="511"/>
      <c r="CL34" s="511"/>
      <c r="CM34" s="245"/>
      <c r="CN34" s="511"/>
      <c r="CO34" s="511"/>
      <c r="CP34" s="511"/>
      <c r="CQ34" s="245"/>
      <c r="CR34" s="94"/>
      <c r="CS34" s="94"/>
      <c r="CT34" s="245"/>
      <c r="CU34" s="276"/>
      <c r="CV34" s="276"/>
      <c r="CW34" s="276"/>
      <c r="CX34" s="276"/>
      <c r="CY34" s="276"/>
      <c r="CZ34" s="276"/>
      <c r="DA34" s="276"/>
    </row>
    <row r="35" spans="1:105" ht="25.5" customHeight="1" x14ac:dyDescent="0.2">
      <c r="A35" s="275"/>
      <c r="B35" s="275"/>
      <c r="C35" s="273"/>
      <c r="D35" s="501" t="str">
        <f>D11 &amp; " (W4,4)"</f>
        <v>Industrie électrique (division 351 de la CITI) (W4,4)</v>
      </c>
      <c r="E35" s="277"/>
      <c r="F35" s="277"/>
      <c r="G35" s="277"/>
      <c r="H35" s="277"/>
      <c r="I35" s="277"/>
      <c r="J35" s="277"/>
      <c r="K35" s="277"/>
      <c r="L35" s="277"/>
      <c r="M35" s="277"/>
      <c r="N35" s="277"/>
      <c r="O35" s="277"/>
      <c r="P35" s="277"/>
      <c r="Q35" s="277"/>
      <c r="R35" s="277"/>
      <c r="S35" s="277"/>
      <c r="T35" s="277"/>
      <c r="U35" s="277"/>
      <c r="V35" s="277"/>
      <c r="W35" s="277"/>
      <c r="X35" s="504"/>
      <c r="Y35" s="505"/>
      <c r="Z35" s="793"/>
      <c r="AA35" s="794"/>
      <c r="AB35" s="794"/>
      <c r="AC35" s="794"/>
      <c r="AD35" s="794"/>
      <c r="AE35" s="794"/>
      <c r="AF35" s="794"/>
      <c r="AG35" s="795"/>
      <c r="AH35" s="277"/>
      <c r="AI35" s="291"/>
      <c r="AJ35" s="407"/>
      <c r="AK35" s="407"/>
      <c r="AL35" s="407"/>
      <c r="AM35" s="842" t="str">
        <f>D22&amp; " (W4,15)"</f>
        <v>Eaux usées traitées dans des moyens d’épuration indépendants (W4,15)</v>
      </c>
      <c r="AN35" s="843"/>
      <c r="AO35" s="843"/>
      <c r="AP35" s="843"/>
      <c r="AQ35" s="843"/>
      <c r="AR35" s="843"/>
      <c r="AS35" s="843"/>
      <c r="AT35" s="844"/>
      <c r="AU35" s="277"/>
      <c r="AV35" s="277"/>
      <c r="AW35" s="277"/>
      <c r="AX35" s="277"/>
      <c r="AY35" s="387"/>
      <c r="AZ35" s="80">
        <v>7</v>
      </c>
      <c r="BA35" s="237" t="s">
        <v>484</v>
      </c>
      <c r="BB35" s="80" t="s">
        <v>632</v>
      </c>
      <c r="BC35" s="114">
        <f>F14</f>
        <v>0</v>
      </c>
      <c r="BD35" s="114"/>
      <c r="BE35" s="80">
        <f>H14</f>
        <v>0</v>
      </c>
      <c r="BF35" s="80"/>
      <c r="BG35" s="80">
        <f>M14</f>
        <v>0</v>
      </c>
      <c r="BH35" s="114"/>
      <c r="BI35" s="114">
        <f>O14</f>
        <v>0</v>
      </c>
      <c r="BJ35" s="114"/>
      <c r="BK35" s="114">
        <f>Q14</f>
        <v>0</v>
      </c>
      <c r="BL35" s="114"/>
      <c r="BM35" s="80">
        <f>P14</f>
        <v>0</v>
      </c>
      <c r="BN35" s="114"/>
      <c r="BO35" s="114">
        <f>R14</f>
        <v>0</v>
      </c>
      <c r="BP35" s="114"/>
      <c r="BQ35" s="114">
        <f>T14</f>
        <v>0</v>
      </c>
      <c r="BR35" s="114"/>
      <c r="BS35" s="114">
        <f>V14</f>
        <v>0</v>
      </c>
      <c r="BT35" s="114"/>
      <c r="BU35" s="80">
        <f>X14</f>
        <v>0</v>
      </c>
      <c r="BV35" s="112"/>
      <c r="BW35" s="112">
        <f>Z14</f>
        <v>0</v>
      </c>
      <c r="BX35" s="114"/>
      <c r="BY35" s="114">
        <f>AB14</f>
        <v>0</v>
      </c>
      <c r="BZ35" s="114"/>
      <c r="CA35" s="113">
        <f>AD14</f>
        <v>0</v>
      </c>
      <c r="CB35" s="113"/>
      <c r="CC35" s="80">
        <f>AF14</f>
        <v>0</v>
      </c>
      <c r="CD35" s="80"/>
      <c r="CE35" s="80">
        <f>AH14</f>
        <v>0</v>
      </c>
      <c r="CF35" s="80"/>
      <c r="CG35" s="80">
        <f>AJ14</f>
        <v>0</v>
      </c>
      <c r="CH35" s="80"/>
      <c r="CI35" s="80">
        <f>AL14</f>
        <v>0</v>
      </c>
      <c r="CJ35" s="114"/>
      <c r="CK35" s="114">
        <f>AN14</f>
        <v>0</v>
      </c>
      <c r="CL35" s="114"/>
      <c r="CM35" s="80">
        <f>AP14</f>
        <v>0</v>
      </c>
      <c r="CN35" s="114"/>
      <c r="CO35" s="114">
        <f>AR14</f>
        <v>0</v>
      </c>
      <c r="CP35" s="114"/>
      <c r="CQ35" s="80">
        <f>AT14</f>
        <v>0</v>
      </c>
      <c r="CR35" s="114"/>
      <c r="CS35" s="114">
        <f>AV14</f>
        <v>824.8</v>
      </c>
      <c r="CT35" s="80"/>
      <c r="CU35" s="276"/>
      <c r="CV35" s="276"/>
      <c r="CW35" s="276"/>
      <c r="CX35" s="276"/>
      <c r="CY35" s="276"/>
      <c r="CZ35" s="276"/>
      <c r="DA35" s="276"/>
    </row>
    <row r="36" spans="1:105" ht="6.75" customHeight="1" x14ac:dyDescent="0.2">
      <c r="A36" s="275"/>
      <c r="B36" s="275"/>
      <c r="C36" s="273"/>
      <c r="D36" s="286"/>
      <c r="E36" s="277"/>
      <c r="F36" s="277"/>
      <c r="G36" s="277"/>
      <c r="H36" s="277"/>
      <c r="I36" s="277"/>
      <c r="J36" s="277"/>
      <c r="K36" s="277"/>
      <c r="L36" s="277"/>
      <c r="M36" s="277"/>
      <c r="N36" s="277"/>
      <c r="O36" s="277"/>
      <c r="P36" s="277"/>
      <c r="Q36" s="277"/>
      <c r="R36" s="277"/>
      <c r="S36" s="277"/>
      <c r="T36" s="277"/>
      <c r="U36" s="277"/>
      <c r="V36" s="277"/>
      <c r="W36" s="277"/>
      <c r="X36" s="504"/>
      <c r="Y36" s="505"/>
      <c r="Z36" s="793"/>
      <c r="AA36" s="794"/>
      <c r="AB36" s="794"/>
      <c r="AC36" s="794"/>
      <c r="AD36" s="794"/>
      <c r="AE36" s="794"/>
      <c r="AF36" s="794"/>
      <c r="AG36" s="795"/>
      <c r="AH36" s="277"/>
      <c r="AI36" s="334"/>
      <c r="AJ36" s="504"/>
      <c r="AK36" s="504"/>
      <c r="AL36" s="504"/>
      <c r="AM36" s="505"/>
      <c r="AN36" s="505"/>
      <c r="AO36" s="505"/>
      <c r="AP36" s="505"/>
      <c r="AQ36" s="503"/>
      <c r="AR36" s="503"/>
      <c r="AS36" s="503"/>
      <c r="AT36" s="503"/>
      <c r="AU36" s="277"/>
      <c r="AV36" s="277"/>
      <c r="AW36" s="277"/>
      <c r="AX36" s="277"/>
      <c r="AY36" s="513"/>
      <c r="AZ36" s="514"/>
      <c r="BA36" s="509"/>
      <c r="BB36" s="515"/>
      <c r="BC36" s="114"/>
      <c r="BD36" s="94"/>
      <c r="BE36" s="256"/>
      <c r="BF36" s="94"/>
      <c r="BG36" s="94"/>
      <c r="BH36" s="94"/>
      <c r="BI36" s="94"/>
      <c r="BJ36" s="94"/>
      <c r="BK36" s="94"/>
      <c r="BL36" s="94"/>
      <c r="BM36" s="94"/>
      <c r="BN36" s="94"/>
      <c r="BO36" s="94"/>
      <c r="BP36" s="94"/>
      <c r="BQ36" s="94"/>
      <c r="BR36" s="94"/>
      <c r="BS36" s="94"/>
      <c r="BT36" s="94"/>
      <c r="BU36" s="256"/>
      <c r="BV36" s="94"/>
      <c r="BW36" s="94"/>
      <c r="BX36" s="94"/>
      <c r="BY36" s="94"/>
      <c r="BZ36" s="94"/>
      <c r="CA36" s="94"/>
      <c r="CB36" s="94"/>
      <c r="CC36" s="256"/>
      <c r="CD36" s="256"/>
      <c r="CE36" s="256"/>
      <c r="CF36" s="256"/>
      <c r="CG36" s="256"/>
      <c r="CH36" s="256"/>
      <c r="CI36" s="256"/>
      <c r="CJ36" s="94"/>
      <c r="CK36" s="94"/>
      <c r="CL36" s="94"/>
      <c r="CM36" s="256"/>
      <c r="CN36" s="94"/>
      <c r="CO36" s="94"/>
      <c r="CP36" s="94"/>
      <c r="CQ36" s="256"/>
      <c r="CR36" s="94"/>
      <c r="CS36" s="94"/>
      <c r="CT36" s="256"/>
      <c r="CU36" s="276"/>
      <c r="CV36" s="276"/>
      <c r="CW36" s="276"/>
      <c r="CX36" s="276"/>
      <c r="CY36" s="276"/>
      <c r="CZ36" s="276"/>
      <c r="DA36" s="276"/>
    </row>
    <row r="37" spans="1:105" ht="21" customHeight="1" x14ac:dyDescent="0.2">
      <c r="A37" s="275"/>
      <c r="B37" s="275"/>
      <c r="C37" s="273"/>
      <c r="D37" s="501" t="str">
        <f>D12 &amp; " (W4,5)"</f>
        <v>Autres activités économiques (W4,5)</v>
      </c>
      <c r="E37" s="277"/>
      <c r="F37" s="277"/>
      <c r="G37" s="277"/>
      <c r="H37" s="277"/>
      <c r="I37" s="277"/>
      <c r="J37" s="277"/>
      <c r="K37" s="277"/>
      <c r="L37" s="277"/>
      <c r="M37" s="277"/>
      <c r="N37" s="277"/>
      <c r="O37" s="277"/>
      <c r="P37" s="277"/>
      <c r="Q37" s="277"/>
      <c r="R37" s="277"/>
      <c r="S37" s="277"/>
      <c r="T37" s="277"/>
      <c r="U37" s="277"/>
      <c r="V37" s="277"/>
      <c r="W37" s="277"/>
      <c r="X37" s="277"/>
      <c r="Y37" s="574"/>
      <c r="Z37" s="796"/>
      <c r="AA37" s="797"/>
      <c r="AB37" s="797"/>
      <c r="AC37" s="797"/>
      <c r="AD37" s="797"/>
      <c r="AE37" s="797"/>
      <c r="AF37" s="797"/>
      <c r="AG37" s="798"/>
      <c r="AH37" s="277"/>
      <c r="AI37" s="518"/>
      <c r="AJ37" s="407"/>
      <c r="AK37" s="407"/>
      <c r="AL37" s="407"/>
      <c r="AM37" s="842" t="str">
        <f>D23&amp; " (W4,16)"</f>
        <v>Eaux usées non traitées (W4,16)</v>
      </c>
      <c r="AN37" s="843"/>
      <c r="AO37" s="843"/>
      <c r="AP37" s="843"/>
      <c r="AQ37" s="843"/>
      <c r="AR37" s="843"/>
      <c r="AS37" s="843"/>
      <c r="AT37" s="844"/>
      <c r="AU37" s="277"/>
      <c r="AV37" s="277"/>
      <c r="AW37" s="277"/>
      <c r="AX37" s="277"/>
      <c r="AY37" s="513"/>
      <c r="AZ37" s="299">
        <v>20</v>
      </c>
      <c r="BA37" s="519" t="s">
        <v>590</v>
      </c>
      <c r="BB37" s="112" t="s">
        <v>632</v>
      </c>
      <c r="BC37" s="114">
        <f>SUM(F15:F17)</f>
        <v>0</v>
      </c>
      <c r="BD37" s="114"/>
      <c r="BE37" s="80">
        <f>SUM(H15:H17)</f>
        <v>0</v>
      </c>
      <c r="BF37" s="112"/>
      <c r="BG37" s="112">
        <f>SUM(M15:M17)</f>
        <v>0</v>
      </c>
      <c r="BH37" s="114"/>
      <c r="BI37" s="114">
        <f>SUM(O15:O17)</f>
        <v>0</v>
      </c>
      <c r="BJ37" s="114"/>
      <c r="BK37" s="114">
        <f>SUM(Q15:Q17)</f>
        <v>0</v>
      </c>
      <c r="BL37" s="114"/>
      <c r="BM37" s="112">
        <f>SUM(P15:P17)</f>
        <v>0</v>
      </c>
      <c r="BN37" s="114"/>
      <c r="BO37" s="114">
        <f>SUM(R15:R17)</f>
        <v>0</v>
      </c>
      <c r="BP37" s="114"/>
      <c r="BQ37" s="114">
        <f>SUM(T15:T17)</f>
        <v>0</v>
      </c>
      <c r="BR37" s="114"/>
      <c r="BS37" s="114">
        <f>SUM(V15:V17)</f>
        <v>0</v>
      </c>
      <c r="BT37" s="114"/>
      <c r="BU37" s="80">
        <f>SUM(X15:X17)</f>
        <v>0</v>
      </c>
      <c r="BV37" s="112"/>
      <c r="BW37" s="112">
        <f>SUM(Z15:Z17)</f>
        <v>0</v>
      </c>
      <c r="BX37" s="114"/>
      <c r="BY37" s="114">
        <f>SUM(AB15:AB17)</f>
        <v>0</v>
      </c>
      <c r="BZ37" s="114"/>
      <c r="CA37" s="113">
        <f>SUM(AD15:AD17)</f>
        <v>0</v>
      </c>
      <c r="CB37" s="113"/>
      <c r="CC37" s="80">
        <f>SUM(AF15:AF17)</f>
        <v>0</v>
      </c>
      <c r="CD37" s="80"/>
      <c r="CE37" s="80">
        <f>SUM(AH15:AH17)</f>
        <v>0</v>
      </c>
      <c r="CF37" s="80"/>
      <c r="CG37" s="80">
        <f>SUM(AJ15:AJ17)</f>
        <v>0</v>
      </c>
      <c r="CH37" s="80"/>
      <c r="CI37" s="80">
        <f>SUM(AL15:AL17)</f>
        <v>0</v>
      </c>
      <c r="CJ37" s="114"/>
      <c r="CK37" s="114">
        <f>SUM(AN15:AN17)</f>
        <v>0</v>
      </c>
      <c r="CL37" s="114"/>
      <c r="CM37" s="80">
        <f>SUM(AP15:AP17)</f>
        <v>0</v>
      </c>
      <c r="CN37" s="114"/>
      <c r="CO37" s="114">
        <f>SUM(AR15:AR17)</f>
        <v>0</v>
      </c>
      <c r="CP37" s="114"/>
      <c r="CQ37" s="80">
        <f>SUM(AT15:AT17)</f>
        <v>0</v>
      </c>
      <c r="CR37" s="114"/>
      <c r="CS37" s="114">
        <f>SUM(AV15:AV17)</f>
        <v>824.69999999999993</v>
      </c>
      <c r="CT37" s="80"/>
      <c r="CU37" s="276"/>
      <c r="CV37" s="276"/>
      <c r="CW37" s="276"/>
      <c r="CX37" s="276"/>
      <c r="CY37" s="276"/>
      <c r="CZ37" s="276"/>
      <c r="DA37" s="276"/>
    </row>
    <row r="38" spans="1:105" ht="7.5" customHeight="1" x14ac:dyDescent="0.2">
      <c r="A38" s="275"/>
      <c r="B38" s="275"/>
      <c r="C38" s="273"/>
      <c r="D38" s="520"/>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513"/>
      <c r="AZ38" s="521"/>
      <c r="BA38" s="508"/>
      <c r="BB38" s="509"/>
      <c r="BC38" s="112"/>
      <c r="BD38" s="94"/>
      <c r="BE38" s="94"/>
      <c r="BF38" s="94"/>
      <c r="BG38" s="94"/>
      <c r="BH38" s="94"/>
      <c r="BI38" s="94"/>
      <c r="BJ38" s="94"/>
      <c r="BK38" s="94"/>
      <c r="BL38" s="94"/>
      <c r="BM38" s="94"/>
      <c r="BN38" s="94"/>
      <c r="BO38" s="94"/>
      <c r="BP38" s="94"/>
      <c r="BQ38" s="94"/>
      <c r="BR38" s="94"/>
      <c r="BS38" s="94"/>
      <c r="BT38" s="94"/>
      <c r="BU38" s="256"/>
      <c r="BV38" s="94"/>
      <c r="BW38" s="94"/>
      <c r="BX38" s="94"/>
      <c r="BY38" s="94"/>
      <c r="BZ38" s="94"/>
      <c r="CA38" s="94"/>
      <c r="CB38" s="94"/>
      <c r="CC38" s="245"/>
      <c r="CD38" s="256"/>
      <c r="CE38" s="256"/>
      <c r="CF38" s="256"/>
      <c r="CG38" s="256"/>
      <c r="CH38" s="256"/>
      <c r="CI38" s="256"/>
      <c r="CJ38" s="94"/>
      <c r="CK38" s="94"/>
      <c r="CL38" s="94"/>
      <c r="CM38" s="256"/>
      <c r="CN38" s="94"/>
      <c r="CO38" s="94"/>
      <c r="CP38" s="94"/>
      <c r="CQ38" s="256"/>
      <c r="CR38" s="94"/>
      <c r="CS38" s="94"/>
      <c r="CT38" s="256"/>
      <c r="CU38" s="276"/>
      <c r="CV38" s="276"/>
      <c r="CW38" s="276"/>
      <c r="CX38" s="276"/>
      <c r="CY38" s="276"/>
      <c r="CZ38" s="276"/>
      <c r="DA38" s="276"/>
    </row>
    <row r="39" spans="1:105" s="186" customFormat="1" ht="15.75" customHeight="1" x14ac:dyDescent="0.2">
      <c r="A39" s="175"/>
      <c r="B39" s="176"/>
      <c r="C39" s="644"/>
      <c r="D39" s="501" t="str">
        <f>D13 &amp; " (W4,6)"</f>
        <v>Ménages (W4,6)</v>
      </c>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467"/>
      <c r="AV39" s="467"/>
      <c r="AW39" s="467"/>
      <c r="AX39" s="467"/>
      <c r="AY39" s="187"/>
      <c r="AZ39" s="284" t="s">
        <v>494</v>
      </c>
      <c r="BA39" s="281" t="s">
        <v>591</v>
      </c>
      <c r="BB39" s="80"/>
      <c r="BC39" s="112" t="str">
        <f>IF(OR(ISBLANK(F14),ISBLANK(F15),ISBLANK(F16),ISBLANK(F17)),"N/A",IF((BC35=BC37),"ok","&lt;&gt;"))</f>
        <v>N/A</v>
      </c>
      <c r="BD39" s="114"/>
      <c r="BE39" s="114" t="str">
        <f>IF(OR(ISBLANK(H14),ISBLANK(H15),ISBLANK(H16),ISBLANK(H17)),"N/A",IF((BE35=BE37),"ok","&lt;&gt;"))</f>
        <v>N/A</v>
      </c>
      <c r="BF39" s="114"/>
      <c r="BG39" s="114" t="str">
        <f>IF(OR(ISBLANK(M14),ISBLANK(M15),ISBLANK(M16),ISBLANK(M17)),"N/A",IF((BG35=BG37),"ok","&lt;&gt;"))</f>
        <v>N/A</v>
      </c>
      <c r="BH39" s="114"/>
      <c r="BI39" s="114" t="str">
        <f>IF(OR(ISBLANK(O14),ISBLANK(O15),ISBLANK(O16),ISBLANK(O17)),"N/A",IF((BI35=BI37),"ok","&lt;&gt;"))</f>
        <v>N/A</v>
      </c>
      <c r="BJ39" s="114"/>
      <c r="BK39" s="114" t="str">
        <f>IF(OR(ISBLANK(Q14),ISBLANK(Q15),ISBLANK(Q16),ISBLANK(Q17)),"N/A",IF((BK35=BK37),"ok","&lt;&gt;"))</f>
        <v>N/A</v>
      </c>
      <c r="BL39" s="114"/>
      <c r="BM39" s="114" t="str">
        <f>IF(OR(ISBLANK(P14),ISBLANK(P15),ISBLANK(P16),ISBLANK(P17)),"N/A",IF((BM35=BM37),"ok","&lt;&gt;"))</f>
        <v>N/A</v>
      </c>
      <c r="BN39" s="114"/>
      <c r="BO39" s="114" t="str">
        <f>IF(OR(ISBLANK(R14),ISBLANK(R15),ISBLANK(R16),ISBLANK(R17)),"N/A",IF((BO35=BO37),"ok","&lt;&gt;"))</f>
        <v>N/A</v>
      </c>
      <c r="BP39" s="114"/>
      <c r="BQ39" s="114" t="str">
        <f>IF(OR(ISBLANK(T14),ISBLANK(T15),ISBLANK(T16),ISBLANK(T17)),"N/A",IF((BQ35=BQ37),"ok","&lt;&gt;"))</f>
        <v>N/A</v>
      </c>
      <c r="BR39" s="114"/>
      <c r="BS39" s="114" t="str">
        <f>IF(OR(ISBLANK(V14),ISBLANK(V15),ISBLANK(V16),ISBLANK(V17)),"N/A",IF((BS35=BS37),"ok","&lt;&gt;"))</f>
        <v>N/A</v>
      </c>
      <c r="BT39" s="114"/>
      <c r="BU39" s="80" t="str">
        <f>IF(OR(ISBLANK(X14),ISBLANK(X15),ISBLANK(X16),ISBLANK(X17)),"N/A",IF((BU35=BU37),"ok","&lt;&gt;"))</f>
        <v>N/A</v>
      </c>
      <c r="BV39" s="112"/>
      <c r="BW39" s="112" t="str">
        <f>IF(OR(ISBLANK(Z14),ISBLANK(Z15),ISBLANK(Z16),ISBLANK(Z17)),"N/A",IF((BW35=BW37),"ok","&lt;&gt;"))</f>
        <v>N/A</v>
      </c>
      <c r="BX39" s="114"/>
      <c r="BY39" s="114" t="str">
        <f>IF(OR(ISBLANK(AB14),ISBLANK(AB15),ISBLANK(AB16),ISBLANK(AB17)),"N/A",IF((BY35=BY37),"ok","&lt;&gt;"))</f>
        <v>N/A</v>
      </c>
      <c r="BZ39" s="114"/>
      <c r="CA39" s="114" t="str">
        <f>IF(OR(ISBLANK(AD14),ISBLANK(AD15),ISBLANK(AD16),ISBLANK(AD17)),"N/A",IF((CA35=CA37),"ok","&lt;&gt;"))</f>
        <v>N/A</v>
      </c>
      <c r="CB39" s="114"/>
      <c r="CC39" s="80" t="str">
        <f>IF(OR(ISBLANK(AF14),ISBLANK(AF15),ISBLANK(AF16),ISBLANK(AF17)),"N/A",IF((CC35=CC37),"ok","&lt;&gt;"))</f>
        <v>N/A</v>
      </c>
      <c r="CD39" s="80"/>
      <c r="CE39" s="80" t="str">
        <f>IF(OR(ISBLANK(AH14),ISBLANK(AH15),ISBLANK(AH16),ISBLANK(AH17)),"N/A",IF((CE35=CE37),"ok","&lt;&gt;"))</f>
        <v>N/A</v>
      </c>
      <c r="CF39" s="80"/>
      <c r="CG39" s="80" t="str">
        <f>IF(OR(ISBLANK(AJ14),ISBLANK(AJ15),ISBLANK(AJ16),ISBLANK(AJ17)),"N/A",IF((CG35=CG37),"ok","&lt;&gt;"))</f>
        <v>N/A</v>
      </c>
      <c r="CH39" s="80"/>
      <c r="CI39" s="80" t="str">
        <f>IF(OR(ISBLANK(AL14),ISBLANK(AL15),ISBLANK(AL16),ISBLANK(AL17)),"N/A",IF((CI35=CI37),"ok","&lt;&gt;"))</f>
        <v>N/A</v>
      </c>
      <c r="CJ39" s="114"/>
      <c r="CK39" s="114" t="str">
        <f>IF(OR(ISBLANK(AN14),ISBLANK(AN15),ISBLANK(AN16),ISBLANK(AN17)),"N/A",IF((CK35=CK37),"ok","&lt;&gt;"))</f>
        <v>N/A</v>
      </c>
      <c r="CL39" s="114"/>
      <c r="CM39" s="80" t="str">
        <f>IF(OR(ISBLANK(AP14),ISBLANK(AP15),ISBLANK(AP16),ISBLANK(AP17)),"N/A",IF((CM35=CM37),"ok","&lt;&gt;"))</f>
        <v>N/A</v>
      </c>
      <c r="CN39" s="114"/>
      <c r="CO39" s="114" t="str">
        <f>IF(OR(ISBLANK(AR14),ISBLANK(AR15),ISBLANK(AR16),ISBLANK(AR17)),"N/A",IF((CO35=CO37),"ok","&lt;&gt;"))</f>
        <v>N/A</v>
      </c>
      <c r="CP39" s="114"/>
      <c r="CQ39" s="80" t="str">
        <f>IF(OR(ISBLANK(AT14),ISBLANK(AT15),ISBLANK(AT16),ISBLANK(AT17)),"N/A",IF((CQ35=CQ37),"ok","&lt;&gt;"))</f>
        <v>N/A</v>
      </c>
      <c r="CR39" s="114"/>
      <c r="CS39" s="114" t="str">
        <f>IF(OR(ISBLANK(AV14),ISBLANK(AV15),ISBLANK(AV16),ISBLANK(AV17)),"N/A",IF((CS35=CS37),"ok","&lt;&gt;"))</f>
        <v>&lt;&gt;</v>
      </c>
      <c r="CT39" s="80"/>
    </row>
    <row r="40" spans="1:105" s="186" customFormat="1" ht="6.75" customHeight="1" x14ac:dyDescent="0.2">
      <c r="A40" s="175"/>
      <c r="B40" s="176"/>
      <c r="C40" s="644"/>
      <c r="D40" s="49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467"/>
      <c r="AV40" s="467"/>
      <c r="AW40" s="467"/>
      <c r="AX40" s="467"/>
      <c r="AY40" s="187"/>
      <c r="AZ40" s="522"/>
      <c r="BA40" s="509"/>
      <c r="BB40" s="509"/>
      <c r="BC40" s="112"/>
      <c r="BD40" s="114"/>
      <c r="BE40" s="114"/>
      <c r="BF40" s="94"/>
      <c r="BG40" s="94"/>
      <c r="BH40" s="94"/>
      <c r="BI40" s="94"/>
      <c r="BJ40" s="94"/>
      <c r="BK40" s="94"/>
      <c r="BL40" s="94"/>
      <c r="BM40" s="94"/>
      <c r="BN40" s="94"/>
      <c r="BO40" s="94"/>
      <c r="BP40" s="94"/>
      <c r="BQ40" s="94"/>
      <c r="BR40" s="94"/>
      <c r="BS40" s="94"/>
      <c r="BT40" s="94"/>
      <c r="BU40" s="256"/>
      <c r="BV40" s="94"/>
      <c r="BW40" s="94"/>
      <c r="BX40" s="94"/>
      <c r="BY40" s="94"/>
      <c r="BZ40" s="94"/>
      <c r="CA40" s="510"/>
      <c r="CB40" s="516"/>
      <c r="CC40" s="256"/>
      <c r="CD40" s="256"/>
      <c r="CE40" s="256"/>
      <c r="CF40" s="256"/>
      <c r="CG40" s="256"/>
      <c r="CH40" s="256"/>
      <c r="CI40" s="256"/>
      <c r="CJ40" s="94"/>
      <c r="CK40" s="94"/>
      <c r="CL40" s="94"/>
      <c r="CM40" s="256"/>
      <c r="CN40" s="517"/>
      <c r="CO40" s="512"/>
      <c r="CP40" s="517"/>
      <c r="CQ40" s="256"/>
      <c r="CR40" s="94"/>
      <c r="CS40" s="523"/>
      <c r="CT40" s="256"/>
    </row>
    <row r="41" spans="1:105" s="424" customFormat="1" ht="17.25" customHeight="1" x14ac:dyDescent="0.25">
      <c r="A41" s="423"/>
      <c r="B41" s="408">
        <v>2</v>
      </c>
      <c r="C41" s="391" t="s">
        <v>306</v>
      </c>
      <c r="D41" s="392"/>
      <c r="E41" s="391"/>
      <c r="F41" s="205"/>
      <c r="G41" s="205"/>
      <c r="H41" s="393"/>
      <c r="I41" s="394"/>
      <c r="J41" s="394"/>
      <c r="K41" s="394"/>
      <c r="L41" s="394"/>
      <c r="M41" s="394"/>
      <c r="N41" s="394"/>
      <c r="O41" s="394"/>
      <c r="P41" s="395"/>
      <c r="Q41" s="394"/>
      <c r="R41" s="395"/>
      <c r="S41" s="394"/>
      <c r="T41" s="395"/>
      <c r="U41" s="394"/>
      <c r="V41" s="395"/>
      <c r="W41" s="394"/>
      <c r="X41" s="393"/>
      <c r="Y41" s="394"/>
      <c r="Z41" s="393"/>
      <c r="AA41" s="394"/>
      <c r="AB41" s="393"/>
      <c r="AC41" s="394"/>
      <c r="AD41" s="393"/>
      <c r="AE41" s="394"/>
      <c r="AF41" s="393"/>
      <c r="AG41" s="396"/>
      <c r="AH41" s="393"/>
      <c r="AI41" s="394"/>
      <c r="AJ41" s="395"/>
      <c r="AK41" s="394"/>
      <c r="AL41" s="393"/>
      <c r="AM41" s="394"/>
      <c r="AN41" s="393"/>
      <c r="AO41" s="394"/>
      <c r="AP41" s="394"/>
      <c r="AQ41" s="394"/>
      <c r="AR41" s="394"/>
      <c r="AS41" s="394"/>
      <c r="AT41" s="349"/>
      <c r="AU41" s="348"/>
      <c r="AV41" s="349"/>
      <c r="AW41" s="348"/>
      <c r="AX41" s="430"/>
      <c r="AY41" s="626"/>
      <c r="AZ41" s="80">
        <v>11</v>
      </c>
      <c r="BA41" s="237" t="s">
        <v>478</v>
      </c>
      <c r="BB41" s="112" t="s">
        <v>632</v>
      </c>
      <c r="BC41" s="114">
        <f>F18</f>
        <v>0</v>
      </c>
      <c r="BD41" s="114"/>
      <c r="BE41" s="113">
        <f>H18</f>
        <v>0</v>
      </c>
      <c r="BF41" s="114"/>
      <c r="BG41" s="114">
        <f>M18</f>
        <v>0</v>
      </c>
      <c r="BH41" s="114"/>
      <c r="BI41" s="114">
        <f>O18</f>
        <v>0</v>
      </c>
      <c r="BJ41" s="114"/>
      <c r="BK41" s="114">
        <f>Q18</f>
        <v>0</v>
      </c>
      <c r="BL41" s="114"/>
      <c r="BM41" s="114">
        <f>P18</f>
        <v>0</v>
      </c>
      <c r="BN41" s="114"/>
      <c r="BO41" s="114">
        <f>R18</f>
        <v>0</v>
      </c>
      <c r="BP41" s="114"/>
      <c r="BQ41" s="114">
        <f>T18</f>
        <v>0</v>
      </c>
      <c r="BR41" s="114"/>
      <c r="BS41" s="114">
        <f>V18</f>
        <v>0</v>
      </c>
      <c r="BT41" s="114"/>
      <c r="BU41" s="80">
        <f>X18</f>
        <v>0</v>
      </c>
      <c r="BV41" s="112"/>
      <c r="BW41" s="112">
        <f>Z18</f>
        <v>0</v>
      </c>
      <c r="BX41" s="114"/>
      <c r="BY41" s="114">
        <f>AB18</f>
        <v>0</v>
      </c>
      <c r="BZ41" s="114"/>
      <c r="CA41" s="112">
        <f>AD18</f>
        <v>0</v>
      </c>
      <c r="CB41" s="112"/>
      <c r="CC41" s="80">
        <f>AF18</f>
        <v>0</v>
      </c>
      <c r="CD41" s="80"/>
      <c r="CE41" s="80">
        <f>AH18</f>
        <v>0</v>
      </c>
      <c r="CF41" s="80"/>
      <c r="CG41" s="80">
        <f>AJ18</f>
        <v>0</v>
      </c>
      <c r="CH41" s="80"/>
      <c r="CI41" s="80">
        <f>AL18</f>
        <v>0</v>
      </c>
      <c r="CJ41" s="114"/>
      <c r="CK41" s="114">
        <f>AN18</f>
        <v>0</v>
      </c>
      <c r="CL41" s="114"/>
      <c r="CM41" s="80">
        <f>AP18</f>
        <v>0</v>
      </c>
      <c r="CN41" s="113"/>
      <c r="CO41" s="113">
        <f>AR18</f>
        <v>0</v>
      </c>
      <c r="CP41" s="113"/>
      <c r="CQ41" s="80">
        <f>AT18</f>
        <v>0</v>
      </c>
      <c r="CR41" s="114"/>
      <c r="CS41" s="114">
        <f>AV18</f>
        <v>0</v>
      </c>
      <c r="CT41" s="80"/>
    </row>
    <row r="42" spans="1:105" ht="3.75" customHeight="1" x14ac:dyDescent="0.25">
      <c r="C42" s="397"/>
      <c r="D42" s="397"/>
      <c r="E42" s="398"/>
      <c r="F42" s="335"/>
      <c r="G42" s="335"/>
      <c r="H42" s="331"/>
      <c r="I42" s="332"/>
      <c r="J42" s="332"/>
      <c r="K42" s="332"/>
      <c r="L42" s="332"/>
      <c r="M42" s="332"/>
      <c r="N42" s="332"/>
      <c r="O42" s="332"/>
      <c r="P42" s="333"/>
      <c r="Q42" s="332"/>
      <c r="R42" s="333"/>
      <c r="S42" s="332"/>
      <c r="T42" s="333"/>
      <c r="U42" s="332"/>
      <c r="V42" s="333"/>
      <c r="W42" s="332"/>
      <c r="X42" s="331"/>
      <c r="Y42" s="332"/>
      <c r="Z42" s="331"/>
      <c r="AA42" s="332"/>
      <c r="AB42" s="331"/>
      <c r="AC42" s="332"/>
      <c r="AD42" s="331"/>
      <c r="AE42" s="332"/>
      <c r="AF42" s="331"/>
      <c r="AG42" s="399"/>
      <c r="AH42" s="331"/>
      <c r="AI42" s="332"/>
      <c r="AJ42" s="333"/>
      <c r="AK42" s="332"/>
      <c r="AL42" s="331"/>
      <c r="AM42" s="334"/>
      <c r="AN42" s="329"/>
      <c r="AO42" s="334"/>
      <c r="AP42" s="334"/>
      <c r="AQ42" s="334"/>
      <c r="AR42" s="334"/>
      <c r="AS42" s="334"/>
      <c r="AZ42" s="524"/>
      <c r="BA42" s="525"/>
      <c r="BB42" s="526"/>
      <c r="BC42" s="527"/>
      <c r="BD42" s="527"/>
      <c r="BE42" s="527"/>
      <c r="BF42" s="527"/>
      <c r="BG42" s="527"/>
      <c r="BH42" s="527"/>
      <c r="BI42" s="527"/>
      <c r="BJ42" s="527"/>
      <c r="BK42" s="80"/>
      <c r="BL42" s="527"/>
      <c r="BM42" s="527"/>
      <c r="BN42" s="527"/>
      <c r="BO42" s="527"/>
      <c r="BP42" s="527"/>
      <c r="BQ42" s="80"/>
      <c r="BR42" s="527"/>
      <c r="BS42" s="527"/>
      <c r="BT42" s="527"/>
      <c r="BU42" s="95"/>
      <c r="BV42" s="528"/>
      <c r="BW42" s="528"/>
      <c r="BX42" s="94"/>
      <c r="BY42" s="94"/>
      <c r="BZ42" s="94"/>
      <c r="CA42" s="516"/>
      <c r="CB42" s="516"/>
      <c r="CC42" s="256"/>
      <c r="CD42" s="256"/>
      <c r="CE42" s="95"/>
      <c r="CF42" s="94"/>
      <c r="CG42" s="94"/>
      <c r="CH42" s="94"/>
      <c r="CI42" s="95"/>
      <c r="CJ42" s="94"/>
      <c r="CK42" s="94"/>
      <c r="CL42" s="94"/>
      <c r="CM42" s="256"/>
      <c r="CN42" s="256"/>
      <c r="CO42" s="256"/>
      <c r="CP42" s="256"/>
      <c r="CQ42" s="95"/>
      <c r="CR42" s="94"/>
      <c r="CS42" s="523"/>
      <c r="CT42" s="256"/>
    </row>
    <row r="43" spans="1:105" ht="24" customHeight="1" x14ac:dyDescent="0.2">
      <c r="C43" s="307" t="s">
        <v>604</v>
      </c>
      <c r="D43" s="471" t="s">
        <v>307</v>
      </c>
      <c r="E43" s="471"/>
      <c r="F43" s="472"/>
      <c r="G43" s="472"/>
      <c r="H43" s="473"/>
      <c r="I43" s="474"/>
      <c r="J43" s="474"/>
      <c r="K43" s="474"/>
      <c r="L43" s="474"/>
      <c r="M43" s="474"/>
      <c r="N43" s="474"/>
      <c r="O43" s="474"/>
      <c r="P43" s="475"/>
      <c r="Q43" s="474"/>
      <c r="R43" s="475"/>
      <c r="S43" s="474"/>
      <c r="T43" s="475"/>
      <c r="U43" s="474"/>
      <c r="V43" s="475"/>
      <c r="W43" s="474"/>
      <c r="X43" s="473"/>
      <c r="Y43" s="474"/>
      <c r="Z43" s="473"/>
      <c r="AA43" s="474"/>
      <c r="AB43" s="473"/>
      <c r="AC43" s="474"/>
      <c r="AD43" s="473"/>
      <c r="AE43" s="474"/>
      <c r="AF43" s="473"/>
      <c r="AG43" s="476"/>
      <c r="AH43" s="473"/>
      <c r="AI43" s="474"/>
      <c r="AJ43" s="475"/>
      <c r="AK43" s="474"/>
      <c r="AL43" s="473"/>
      <c r="AM43" s="474"/>
      <c r="AN43" s="473"/>
      <c r="AO43" s="474"/>
      <c r="AP43" s="474"/>
      <c r="AQ43" s="474"/>
      <c r="AR43" s="474"/>
      <c r="AS43" s="474"/>
      <c r="AT43" s="473"/>
      <c r="AU43" s="474"/>
      <c r="AV43" s="473"/>
      <c r="AW43" s="474"/>
      <c r="AX43" s="477"/>
      <c r="AZ43" s="299">
        <v>21</v>
      </c>
      <c r="BA43" s="281" t="s">
        <v>592</v>
      </c>
      <c r="BB43" s="80" t="s">
        <v>632</v>
      </c>
      <c r="BC43" s="112">
        <f>SUM(F19:F21)</f>
        <v>0</v>
      </c>
      <c r="BD43" s="112"/>
      <c r="BE43" s="80">
        <f>SUM(H19:H21)</f>
        <v>0</v>
      </c>
      <c r="BF43" s="113"/>
      <c r="BG43" s="113">
        <f>SUM(M19:M21)</f>
        <v>0</v>
      </c>
      <c r="BH43" s="114"/>
      <c r="BI43" s="114">
        <f>SUM(O19:O21)</f>
        <v>0</v>
      </c>
      <c r="BJ43" s="114"/>
      <c r="BK43" s="80">
        <f>SUM(Q19:Q21)</f>
        <v>0</v>
      </c>
      <c r="BL43" s="113"/>
      <c r="BM43" s="113">
        <f>SUM(P19:P21)</f>
        <v>0</v>
      </c>
      <c r="BN43" s="114"/>
      <c r="BO43" s="114">
        <f>SUM(R19:R21)</f>
        <v>0</v>
      </c>
      <c r="BP43" s="114"/>
      <c r="BQ43" s="80">
        <f>SUM(T19:T21)</f>
        <v>0</v>
      </c>
      <c r="BR43" s="112"/>
      <c r="BS43" s="112">
        <f>SUM(V19:V21)</f>
        <v>0</v>
      </c>
      <c r="BT43" s="112"/>
      <c r="BU43" s="80">
        <f>SUM(X19:X21)</f>
        <v>0</v>
      </c>
      <c r="BV43" s="112"/>
      <c r="BW43" s="112">
        <f>SUM(Z19:Z21)</f>
        <v>0</v>
      </c>
      <c r="BX43" s="114"/>
      <c r="BY43" s="113">
        <f>SUM(AB19:AB21)</f>
        <v>0</v>
      </c>
      <c r="BZ43" s="113"/>
      <c r="CA43" s="80">
        <f>SUM(AD19:AD21)</f>
        <v>0</v>
      </c>
      <c r="CB43" s="80"/>
      <c r="CC43" s="80">
        <f>SUM(AF19:AF21)</f>
        <v>0</v>
      </c>
      <c r="CD43" s="112"/>
      <c r="CE43" s="112">
        <f>SUM(AH19:AH21)</f>
        <v>0</v>
      </c>
      <c r="CF43" s="112"/>
      <c r="CG43" s="112">
        <f>SUM(AJ19:AJ21)</f>
        <v>0</v>
      </c>
      <c r="CH43" s="112"/>
      <c r="CI43" s="80">
        <f>SUM(AL19:AL21)</f>
        <v>0</v>
      </c>
      <c r="CJ43" s="114"/>
      <c r="CK43" s="114">
        <f>SUM(AN19:AN21)</f>
        <v>0</v>
      </c>
      <c r="CL43" s="114"/>
      <c r="CM43" s="80">
        <f>SUM(AP19:AP21)</f>
        <v>0</v>
      </c>
      <c r="CN43" s="80"/>
      <c r="CO43" s="80">
        <f>SUM(AR19:AR21)</f>
        <v>0</v>
      </c>
      <c r="CP43" s="112"/>
      <c r="CQ43" s="112">
        <f>SUM(AT19:AT21)</f>
        <v>0</v>
      </c>
      <c r="CR43" s="112"/>
      <c r="CS43" s="112">
        <f>SUM(AV19:AV21)</f>
        <v>0</v>
      </c>
      <c r="CT43" s="80"/>
    </row>
    <row r="44" spans="1:105" ht="18" customHeight="1" x14ac:dyDescent="0.2">
      <c r="A44" s="175">
        <v>0</v>
      </c>
      <c r="B44" s="176">
        <v>5671</v>
      </c>
      <c r="C44" s="579" t="s">
        <v>634</v>
      </c>
      <c r="D44" s="760" t="s">
        <v>641</v>
      </c>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2"/>
      <c r="AZ44" s="308" t="s">
        <v>494</v>
      </c>
      <c r="BA44" s="309" t="s">
        <v>500</v>
      </c>
      <c r="BB44" s="93"/>
      <c r="BC44" s="529" t="str">
        <f>IF(OR(ISBLANK(F18),ISBLANK(F19),ISBLANK(F20),ISBLANK(F21)),"N/A",IF((BC41=BC43),"ok","&lt;&gt;"))</f>
        <v>N/A</v>
      </c>
      <c r="BD44" s="529"/>
      <c r="BE44" s="93" t="str">
        <f>IF(OR(ISBLANK(H18),ISBLANK(H19),ISBLANK(H20),ISBLANK(H21)),"N/A",IF((BE41=BE43),"ok","&lt;&gt;"))</f>
        <v>N/A</v>
      </c>
      <c r="BF44" s="530"/>
      <c r="BG44" s="530" t="str">
        <f>IF(OR(ISBLANK(M18),ISBLANK(M19),ISBLANK(M20),ISBLANK(M21)),"N/A",IF((BG41=BG43),"ok","&lt;&gt;"))</f>
        <v>N/A</v>
      </c>
      <c r="BH44" s="530"/>
      <c r="BI44" s="530" t="str">
        <f>IF(OR(ISBLANK(O18),ISBLANK(O19),ISBLANK(O20),ISBLANK(O21)),"N/A",IF((BI41=BI43),"ok","&lt;&gt;"))</f>
        <v>N/A</v>
      </c>
      <c r="BJ44" s="495"/>
      <c r="BK44" s="495" t="str">
        <f>IF(OR(ISBLANK(Q18),ISBLANK(Q19),ISBLANK(Q20),ISBLANK(Q21)),"N/A",IF((BK41=BK43),"ok","&lt;&gt;"))</f>
        <v>N/A</v>
      </c>
      <c r="BL44" s="495"/>
      <c r="BM44" s="530" t="str">
        <f>IF(OR(ISBLANK(P18),ISBLANK(P19),ISBLANK(P20),ISBLANK(P21)),"N/A",IF((BM41=BM43),"ok","&lt;&gt;"))</f>
        <v>N/A</v>
      </c>
      <c r="BN44" s="530"/>
      <c r="BO44" s="530" t="str">
        <f>IF(OR(ISBLANK(R18),ISBLANK(R19),ISBLANK(R20),ISBLANK(R21)),"N/A",IF((BO41=BO43),"ok","&lt;&gt;"))</f>
        <v>N/A</v>
      </c>
      <c r="BP44" s="495"/>
      <c r="BQ44" s="495" t="str">
        <f>IF(OR(ISBLANK(T18),ISBLANK(T19),ISBLANK(T20),ISBLANK(T21)),"N/A",IF((BQ41=BQ43),"ok","&lt;&gt;"))</f>
        <v>N/A</v>
      </c>
      <c r="BR44" s="495"/>
      <c r="BS44" s="495" t="str">
        <f>IF(OR(ISBLANK(V18),ISBLANK(V19),ISBLANK(V20),ISBLANK(V21)),"N/A",IF((BS41=BS43),"ok","&lt;&gt;"))</f>
        <v>N/A</v>
      </c>
      <c r="BT44" s="495"/>
      <c r="BU44" s="495" t="str">
        <f>IF(OR(ISBLANK(X18),ISBLANK(X19),ISBLANK(X20),ISBLANK(X21)),"N/A",IF((BU41=BU43),"ok","&lt;&gt;"))</f>
        <v>N/A</v>
      </c>
      <c r="BV44" s="495"/>
      <c r="BW44" s="530" t="str">
        <f>IF(OR(ISBLANK(Z18),ISBLANK(Z19),ISBLANK(Z20),ISBLANK(Z21)),"N/A",IF((BW41=BW43),"ok","&lt;&gt;"))</f>
        <v>N/A</v>
      </c>
      <c r="BX44" s="495"/>
      <c r="BY44" s="495" t="str">
        <f>IF(OR(ISBLANK(AB18),ISBLANK(AB19),ISBLANK(AB20),ISBLANK(AB21)),"N/A",IF((BY41=BY43),"ok","&lt;&gt;"))</f>
        <v>N/A</v>
      </c>
      <c r="BZ44" s="495"/>
      <c r="CA44" s="93" t="str">
        <f>IF(OR(ISBLANK(AD18),ISBLANK(AD19),ISBLANK(AD20),ISBLANK(AD21)),"N/A",IF((CA41=CA43),"ok","&lt;&gt;"))</f>
        <v>N/A</v>
      </c>
      <c r="CB44" s="93"/>
      <c r="CC44" s="93" t="str">
        <f>IF(OR(ISBLANK(AF18),ISBLANK(AF19),ISBLANK(AF20),ISBLANK(AF21)),"N/A",IF((CC41=CC43),"ok","&lt;&gt;"))</f>
        <v>N/A</v>
      </c>
      <c r="CD44" s="530"/>
      <c r="CE44" s="530" t="str">
        <f>IF(OR(ISBLANK(AH18),ISBLANK(AH19),ISBLANK(AH20),ISBLANK(AH21)),"N/A",IF((CE41=CE43),"ok","&lt;&gt;"))</f>
        <v>N/A</v>
      </c>
      <c r="CF44" s="530"/>
      <c r="CG44" s="530" t="str">
        <f>IF(OR(ISBLANK(AJ18),ISBLANK(AJ19),ISBLANK(AJ20),ISBLANK(AJ21)),"N/A",IF((CG41=CG43),"ok","&lt;&gt;"))</f>
        <v>N/A</v>
      </c>
      <c r="CH44" s="530"/>
      <c r="CI44" s="530" t="str">
        <f>IF(OR(ISBLANK(AL18),ISBLANK(AL19),ISBLANK(AL20),ISBLANK(AL21)),"N/A",IF((CI41=CI43),"ok","&lt;&gt;"))</f>
        <v>N/A</v>
      </c>
      <c r="CJ44" s="530"/>
      <c r="CK44" s="530" t="str">
        <f>IF(OR(ISBLANK(AN18),ISBLANK(AN19),ISBLANK(AN20),ISBLANK(AN21)),"N/A",IF((CK41=CK43),"ok","&lt;&gt;"))</f>
        <v>N/A</v>
      </c>
      <c r="CL44" s="530"/>
      <c r="CM44" s="530" t="str">
        <f>IF(OR(ISBLANK(AP18),ISBLANK(AP19),ISBLANK(AP20),ISBLANK(AP21)),"N/A",IF((CM41=CM43),"ok","&lt;&gt;"))</f>
        <v>N/A</v>
      </c>
      <c r="CN44" s="530"/>
      <c r="CO44" s="530" t="str">
        <f>IF(OR(ISBLANK(AR18),ISBLANK(AR19),ISBLANK(AR20),ISBLANK(AR21)),"N/A",IF((CO41=CO43),"ok","&lt;&gt;"))</f>
        <v>N/A</v>
      </c>
      <c r="CP44" s="530"/>
      <c r="CQ44" s="530" t="str">
        <f>IF(OR(ISBLANK(AT18),ISBLANK(AT19),ISBLANK(AT20),ISBLANK(AT21)),"N/A",IF((CQ41=CQ43),"ok","&lt;&gt;"))</f>
        <v>N/A</v>
      </c>
      <c r="CR44" s="530"/>
      <c r="CS44" s="93" t="str">
        <f>IF(OR(ISBLANK(AV18),ISBLANK(AV19),ISBLANK(AV20),ISBLANK(AV21)),"N/A",IF((CS41=CS43),"ok","&lt;&gt;"))</f>
        <v>N/A</v>
      </c>
      <c r="CT44" s="93"/>
    </row>
    <row r="45" spans="1:105" ht="18" customHeight="1" x14ac:dyDescent="0.2">
      <c r="C45" s="579"/>
      <c r="D45" s="745"/>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6"/>
      <c r="AU45" s="746"/>
      <c r="AV45" s="746"/>
      <c r="AW45" s="746"/>
      <c r="AX45" s="747"/>
      <c r="AZ45" s="310" t="s">
        <v>450</v>
      </c>
      <c r="BA45" s="311" t="s">
        <v>451</v>
      </c>
      <c r="BB45" s="275"/>
      <c r="BC45" s="531"/>
      <c r="BD45" s="532"/>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531"/>
      <c r="CC45" s="532"/>
      <c r="CD45" s="275"/>
      <c r="CE45" s="275"/>
      <c r="CF45" s="275"/>
      <c r="CG45" s="275"/>
      <c r="CH45" s="275"/>
      <c r="CI45" s="275"/>
      <c r="CJ45" s="275"/>
      <c r="CK45" s="275"/>
      <c r="CL45" s="275"/>
      <c r="CM45" s="275"/>
      <c r="CN45" s="275"/>
      <c r="CO45" s="275"/>
      <c r="CP45" s="275"/>
      <c r="CQ45" s="275"/>
      <c r="CR45" s="275"/>
      <c r="CS45" s="275"/>
      <c r="CT45" s="275"/>
    </row>
    <row r="46" spans="1:105" ht="18" customHeight="1" x14ac:dyDescent="0.2">
      <c r="C46" s="579"/>
      <c r="D46" s="745"/>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6"/>
      <c r="AU46" s="746"/>
      <c r="AV46" s="746"/>
      <c r="AW46" s="746"/>
      <c r="AX46" s="747"/>
      <c r="AZ46" s="310" t="s">
        <v>452</v>
      </c>
      <c r="BA46" s="311" t="s">
        <v>453</v>
      </c>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row>
    <row r="47" spans="1:105" ht="18" customHeight="1" x14ac:dyDescent="0.2">
      <c r="C47" s="579"/>
      <c r="D47" s="745"/>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7"/>
      <c r="AZ47" s="312" t="s">
        <v>455</v>
      </c>
      <c r="BA47" s="311" t="s">
        <v>457</v>
      </c>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5"/>
      <c r="CK47" s="275"/>
      <c r="CL47" s="275"/>
      <c r="CM47" s="275"/>
      <c r="CN47" s="275"/>
      <c r="CO47" s="275"/>
      <c r="CP47" s="275"/>
      <c r="CQ47" s="275"/>
      <c r="CR47" s="275"/>
      <c r="CS47" s="275"/>
      <c r="CT47" s="275"/>
    </row>
    <row r="48" spans="1:105" ht="18" customHeight="1" x14ac:dyDescent="0.2">
      <c r="C48" s="579"/>
      <c r="D48" s="745"/>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6"/>
      <c r="AX48" s="747"/>
      <c r="AZ48" s="312" t="s">
        <v>454</v>
      </c>
      <c r="BA48" s="311" t="s">
        <v>412</v>
      </c>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c r="CF48" s="275"/>
      <c r="CG48" s="275"/>
      <c r="CH48" s="275"/>
      <c r="CI48" s="275"/>
      <c r="CJ48" s="275"/>
      <c r="CK48" s="275"/>
      <c r="CL48" s="275"/>
      <c r="CM48" s="275"/>
      <c r="CN48" s="275"/>
      <c r="CO48" s="275"/>
      <c r="CP48" s="275"/>
      <c r="CQ48" s="275"/>
      <c r="CR48" s="275"/>
      <c r="CS48" s="275"/>
      <c r="CT48" s="275"/>
    </row>
    <row r="49" spans="3:50" s="189" customFormat="1" ht="18" customHeight="1" x14ac:dyDescent="0.2">
      <c r="C49" s="579"/>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6"/>
      <c r="AU49" s="746"/>
      <c r="AV49" s="746"/>
      <c r="AW49" s="746"/>
      <c r="AX49" s="747"/>
    </row>
    <row r="50" spans="3:50" s="189" customFormat="1" ht="18" customHeight="1" x14ac:dyDescent="0.2">
      <c r="C50" s="579"/>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6"/>
      <c r="AU50" s="746"/>
      <c r="AV50" s="746"/>
      <c r="AW50" s="746"/>
      <c r="AX50" s="747"/>
    </row>
    <row r="51" spans="3:50" s="189" customFormat="1" ht="18" customHeight="1" x14ac:dyDescent="0.2">
      <c r="C51" s="579"/>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3:50" s="189" customFormat="1" ht="18" customHeight="1" x14ac:dyDescent="0.2">
      <c r="C52" s="579"/>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6"/>
      <c r="AU52" s="746"/>
      <c r="AV52" s="746"/>
      <c r="AW52" s="746"/>
      <c r="AX52" s="747"/>
    </row>
    <row r="53" spans="3:50" s="189" customFormat="1" ht="18" customHeight="1" x14ac:dyDescent="0.2">
      <c r="C53" s="579"/>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46"/>
      <c r="AN53" s="746"/>
      <c r="AO53" s="746"/>
      <c r="AP53" s="746"/>
      <c r="AQ53" s="746"/>
      <c r="AR53" s="746"/>
      <c r="AS53" s="746"/>
      <c r="AT53" s="746"/>
      <c r="AU53" s="746"/>
      <c r="AV53" s="746"/>
      <c r="AW53" s="746"/>
      <c r="AX53" s="747"/>
    </row>
    <row r="54" spans="3:50" s="189" customFormat="1" ht="18" customHeight="1" x14ac:dyDescent="0.2">
      <c r="C54" s="579"/>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46"/>
      <c r="AL54" s="746"/>
      <c r="AM54" s="746"/>
      <c r="AN54" s="746"/>
      <c r="AO54" s="746"/>
      <c r="AP54" s="746"/>
      <c r="AQ54" s="746"/>
      <c r="AR54" s="746"/>
      <c r="AS54" s="746"/>
      <c r="AT54" s="746"/>
      <c r="AU54" s="746"/>
      <c r="AV54" s="746"/>
      <c r="AW54" s="746"/>
      <c r="AX54" s="747"/>
    </row>
    <row r="55" spans="3:50" s="189" customFormat="1" ht="18" customHeight="1" x14ac:dyDescent="0.2">
      <c r="C55" s="579"/>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6"/>
      <c r="AU55" s="746"/>
      <c r="AV55" s="746"/>
      <c r="AW55" s="746"/>
      <c r="AX55" s="747"/>
    </row>
    <row r="56" spans="3:50" s="189" customFormat="1" ht="18" customHeight="1" x14ac:dyDescent="0.2">
      <c r="C56" s="579"/>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7"/>
    </row>
    <row r="57" spans="3:50" s="189" customFormat="1" ht="18" customHeight="1" x14ac:dyDescent="0.2">
      <c r="C57" s="579"/>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6"/>
      <c r="AS57" s="746"/>
      <c r="AT57" s="746"/>
      <c r="AU57" s="746"/>
      <c r="AV57" s="746"/>
      <c r="AW57" s="746"/>
      <c r="AX57" s="747"/>
    </row>
    <row r="58" spans="3:50" s="189" customFormat="1" ht="18" customHeight="1" x14ac:dyDescent="0.2">
      <c r="C58" s="579"/>
      <c r="D58" s="745"/>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6"/>
      <c r="AS58" s="746"/>
      <c r="AT58" s="746"/>
      <c r="AU58" s="746"/>
      <c r="AV58" s="746"/>
      <c r="AW58" s="746"/>
      <c r="AX58" s="747"/>
    </row>
    <row r="59" spans="3:50" s="189" customFormat="1" ht="18" customHeight="1" x14ac:dyDescent="0.2">
      <c r="C59" s="579"/>
      <c r="D59" s="745"/>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46"/>
      <c r="AL59" s="746"/>
      <c r="AM59" s="746"/>
      <c r="AN59" s="746"/>
      <c r="AO59" s="746"/>
      <c r="AP59" s="746"/>
      <c r="AQ59" s="746"/>
      <c r="AR59" s="746"/>
      <c r="AS59" s="746"/>
      <c r="AT59" s="746"/>
      <c r="AU59" s="746"/>
      <c r="AV59" s="746"/>
      <c r="AW59" s="746"/>
      <c r="AX59" s="747"/>
    </row>
    <row r="60" spans="3:50" s="189" customFormat="1" ht="18" customHeight="1" x14ac:dyDescent="0.2">
      <c r="C60" s="579"/>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46"/>
      <c r="AL60" s="746"/>
      <c r="AM60" s="746"/>
      <c r="AN60" s="746"/>
      <c r="AO60" s="746"/>
      <c r="AP60" s="746"/>
      <c r="AQ60" s="746"/>
      <c r="AR60" s="746"/>
      <c r="AS60" s="746"/>
      <c r="AT60" s="746"/>
      <c r="AU60" s="746"/>
      <c r="AV60" s="746"/>
      <c r="AW60" s="746"/>
      <c r="AX60" s="747"/>
    </row>
    <row r="61" spans="3:50" s="189" customFormat="1" ht="18" customHeight="1" x14ac:dyDescent="0.2">
      <c r="C61" s="579"/>
      <c r="D61" s="745"/>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6"/>
      <c r="AP61" s="746"/>
      <c r="AQ61" s="746"/>
      <c r="AR61" s="746"/>
      <c r="AS61" s="746"/>
      <c r="AT61" s="746"/>
      <c r="AU61" s="746"/>
      <c r="AV61" s="746"/>
      <c r="AW61" s="746"/>
      <c r="AX61" s="747"/>
    </row>
    <row r="62" spans="3:50" s="189" customFormat="1" ht="18" customHeight="1" x14ac:dyDescent="0.2">
      <c r="C62" s="579"/>
      <c r="D62" s="745"/>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46"/>
      <c r="AL62" s="746"/>
      <c r="AM62" s="746"/>
      <c r="AN62" s="746"/>
      <c r="AO62" s="746"/>
      <c r="AP62" s="746"/>
      <c r="AQ62" s="746"/>
      <c r="AR62" s="746"/>
      <c r="AS62" s="746"/>
      <c r="AT62" s="746"/>
      <c r="AU62" s="746"/>
      <c r="AV62" s="746"/>
      <c r="AW62" s="746"/>
      <c r="AX62" s="747"/>
    </row>
    <row r="63" spans="3:50" s="189" customFormat="1" ht="18" customHeight="1" x14ac:dyDescent="0.2">
      <c r="C63" s="579"/>
      <c r="D63" s="745"/>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c r="AN63" s="746"/>
      <c r="AO63" s="746"/>
      <c r="AP63" s="746"/>
      <c r="AQ63" s="746"/>
      <c r="AR63" s="746"/>
      <c r="AS63" s="746"/>
      <c r="AT63" s="746"/>
      <c r="AU63" s="746"/>
      <c r="AV63" s="746"/>
      <c r="AW63" s="746"/>
      <c r="AX63" s="747"/>
    </row>
    <row r="64" spans="3:50" s="189" customFormat="1" ht="18" customHeight="1" x14ac:dyDescent="0.2">
      <c r="C64" s="589"/>
      <c r="D64" s="745"/>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row>
    <row r="65" spans="1:98" ht="18" customHeight="1" x14ac:dyDescent="0.2">
      <c r="C65" s="587"/>
      <c r="D65" s="765"/>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7"/>
    </row>
    <row r="66" spans="1:98" s="276" customFormat="1" ht="10.5" customHeight="1" x14ac:dyDescent="0.2">
      <c r="A66" s="479"/>
      <c r="B66" s="411"/>
      <c r="C66" s="424"/>
      <c r="D66" s="424"/>
      <c r="E66" s="189"/>
      <c r="F66" s="210"/>
      <c r="G66" s="210"/>
      <c r="H66" s="263"/>
      <c r="I66" s="264"/>
      <c r="J66" s="264"/>
      <c r="K66" s="264"/>
      <c r="L66" s="264"/>
      <c r="M66" s="264"/>
      <c r="N66" s="264"/>
      <c r="O66" s="264"/>
      <c r="P66" s="265"/>
      <c r="Q66" s="264"/>
      <c r="R66" s="265"/>
      <c r="S66" s="264"/>
      <c r="T66" s="265"/>
      <c r="U66" s="264"/>
      <c r="V66" s="265"/>
      <c r="W66" s="264"/>
      <c r="X66" s="263"/>
      <c r="Y66" s="264"/>
      <c r="Z66" s="263"/>
      <c r="AA66" s="264"/>
      <c r="AB66" s="263"/>
      <c r="AC66" s="264"/>
      <c r="AD66" s="263"/>
      <c r="AE66" s="264"/>
      <c r="AF66" s="263"/>
      <c r="AG66" s="480"/>
      <c r="AH66" s="263"/>
      <c r="AI66" s="264"/>
      <c r="AJ66" s="265"/>
      <c r="AK66" s="264"/>
      <c r="AL66" s="263"/>
      <c r="AM66" s="264"/>
      <c r="AN66" s="263"/>
      <c r="AO66" s="334"/>
      <c r="AP66" s="334"/>
      <c r="AQ66" s="334"/>
      <c r="AR66" s="334"/>
      <c r="AS66" s="334"/>
      <c r="AT66" s="329"/>
      <c r="AU66" s="334"/>
      <c r="AV66" s="329"/>
      <c r="AW66" s="334"/>
      <c r="AY66" s="425"/>
      <c r="AZ66" s="425"/>
      <c r="BA66" s="425"/>
      <c r="BB66" s="425"/>
      <c r="BC66" s="425"/>
      <c r="BD66" s="425"/>
      <c r="BE66" s="425"/>
      <c r="BF66" s="425"/>
      <c r="BG66" s="425"/>
      <c r="BH66" s="425"/>
      <c r="BI66" s="425"/>
      <c r="BJ66" s="425"/>
      <c r="BK66" s="425"/>
      <c r="BL66" s="425"/>
      <c r="BM66" s="425"/>
      <c r="BN66" s="425"/>
      <c r="BO66" s="425"/>
      <c r="BP66" s="425"/>
      <c r="BQ66" s="425"/>
      <c r="BR66" s="425"/>
      <c r="BS66" s="425"/>
      <c r="BT66" s="425"/>
      <c r="BU66" s="425"/>
      <c r="BV66" s="425"/>
      <c r="BW66" s="425"/>
      <c r="BX66" s="425"/>
      <c r="BY66" s="425"/>
      <c r="BZ66" s="425"/>
      <c r="CA66" s="425"/>
      <c r="CB66" s="425"/>
      <c r="CC66" s="425"/>
      <c r="CD66" s="425"/>
      <c r="CE66" s="425"/>
      <c r="CF66" s="425"/>
      <c r="CG66" s="425"/>
      <c r="CH66" s="425"/>
      <c r="CI66" s="425"/>
      <c r="CJ66" s="425"/>
      <c r="CK66" s="425"/>
      <c r="CL66" s="425"/>
      <c r="CM66" s="425"/>
      <c r="CN66" s="425"/>
      <c r="CO66" s="425"/>
      <c r="CP66" s="425"/>
      <c r="CQ66" s="425"/>
      <c r="CR66" s="425"/>
      <c r="CS66" s="425"/>
      <c r="CT66" s="425"/>
    </row>
    <row r="67" spans="1:98" x14ac:dyDescent="0.2">
      <c r="AZ67" s="533"/>
      <c r="BA67" s="649"/>
      <c r="BB67" s="649"/>
      <c r="BC67" s="649"/>
      <c r="BD67" s="649"/>
      <c r="BE67" s="649"/>
      <c r="BF67" s="649"/>
      <c r="BG67" s="649"/>
      <c r="BH67" s="649"/>
      <c r="BI67" s="649"/>
      <c r="BJ67" s="649"/>
      <c r="BK67" s="649"/>
      <c r="BL67" s="649"/>
      <c r="BM67" s="649"/>
      <c r="BN67" s="649"/>
      <c r="BO67" s="649"/>
      <c r="BP67" s="649"/>
      <c r="BQ67" s="649"/>
      <c r="BR67" s="649"/>
      <c r="BS67" s="649"/>
      <c r="BT67" s="649"/>
      <c r="BU67" s="649"/>
      <c r="BV67" s="649"/>
      <c r="BW67" s="649"/>
      <c r="BX67" s="649"/>
      <c r="BY67" s="649"/>
      <c r="BZ67" s="649"/>
      <c r="CA67" s="649"/>
      <c r="CB67" s="649"/>
      <c r="CC67" s="649"/>
      <c r="CD67" s="649"/>
      <c r="CE67" s="649"/>
      <c r="CF67" s="649"/>
      <c r="CG67" s="649"/>
      <c r="CH67" s="649"/>
      <c r="CI67" s="649"/>
      <c r="CJ67" s="649"/>
      <c r="CK67" s="649"/>
      <c r="CL67" s="649"/>
      <c r="CM67" s="649"/>
      <c r="CN67" s="649"/>
    </row>
    <row r="68" spans="1:98" x14ac:dyDescent="0.2">
      <c r="AZ68" s="498"/>
      <c r="BA68" s="498"/>
      <c r="BB68" s="498"/>
      <c r="BC68" s="498"/>
      <c r="BD68" s="534"/>
      <c r="BE68" s="498"/>
      <c r="BF68" s="534"/>
      <c r="BG68" s="534"/>
      <c r="BH68" s="534"/>
      <c r="BI68" s="534"/>
      <c r="BJ68" s="534"/>
      <c r="BK68" s="534"/>
      <c r="BL68" s="534"/>
      <c r="BM68" s="498"/>
      <c r="BN68" s="534"/>
      <c r="BO68" s="498"/>
      <c r="BP68" s="534"/>
      <c r="BQ68" s="498"/>
      <c r="BR68" s="534"/>
      <c r="BS68" s="498"/>
      <c r="BT68" s="534"/>
      <c r="BU68" s="498"/>
      <c r="BV68" s="534"/>
      <c r="BW68" s="498"/>
      <c r="BX68" s="534"/>
      <c r="BY68" s="498"/>
      <c r="BZ68" s="534"/>
      <c r="CA68" s="498"/>
      <c r="CB68" s="534"/>
      <c r="CC68" s="498"/>
      <c r="CD68" s="534"/>
      <c r="CE68" s="498"/>
      <c r="CF68" s="534"/>
      <c r="CG68" s="498"/>
      <c r="CH68" s="534"/>
      <c r="CI68" s="498"/>
      <c r="CJ68" s="534"/>
      <c r="CK68" s="498"/>
      <c r="CL68" s="534"/>
      <c r="CM68" s="498"/>
      <c r="CN68" s="534"/>
    </row>
    <row r="69" spans="1:98" x14ac:dyDescent="0.2">
      <c r="AZ69" s="94"/>
      <c r="BA69" s="535"/>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402"/>
    </row>
    <row r="70" spans="1:98" x14ac:dyDescent="0.2">
      <c r="AZ70" s="94"/>
      <c r="BA70" s="535"/>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402"/>
    </row>
    <row r="71" spans="1:98" x14ac:dyDescent="0.2">
      <c r="AZ71" s="403"/>
      <c r="BA71" s="40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402"/>
    </row>
    <row r="72" spans="1:98" x14ac:dyDescent="0.2">
      <c r="AZ72" s="403"/>
      <c r="BA72" s="40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402"/>
    </row>
    <row r="73" spans="1:98" x14ac:dyDescent="0.2">
      <c r="AZ73" s="94"/>
      <c r="BA73" s="535"/>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425"/>
    </row>
    <row r="74" spans="1:98" x14ac:dyDescent="0.2">
      <c r="AZ74" s="94"/>
      <c r="BA74" s="536"/>
      <c r="BB74" s="94"/>
      <c r="BC74" s="94"/>
      <c r="BD74" s="402"/>
      <c r="BE74" s="111"/>
      <c r="BF74" s="402"/>
      <c r="BG74" s="402"/>
      <c r="BH74" s="402"/>
      <c r="BI74" s="402"/>
      <c r="BJ74" s="402"/>
      <c r="BK74" s="402"/>
      <c r="BL74" s="402"/>
      <c r="BM74" s="111"/>
      <c r="BN74" s="402"/>
      <c r="BO74" s="111"/>
      <c r="BP74" s="402"/>
      <c r="BQ74" s="111"/>
      <c r="BR74" s="402"/>
      <c r="BS74" s="94"/>
      <c r="BT74" s="402"/>
      <c r="BU74" s="94"/>
      <c r="BV74" s="402"/>
      <c r="BW74" s="94"/>
      <c r="BX74" s="402"/>
      <c r="BY74" s="94"/>
      <c r="BZ74" s="402"/>
      <c r="CA74" s="94"/>
      <c r="CB74" s="402"/>
      <c r="CC74" s="94"/>
      <c r="CD74" s="402"/>
      <c r="CE74" s="111"/>
      <c r="CF74" s="402"/>
      <c r="CG74" s="94"/>
      <c r="CH74" s="402"/>
      <c r="CI74" s="94"/>
      <c r="CJ74" s="402"/>
      <c r="CK74" s="94"/>
      <c r="CL74" s="402"/>
      <c r="CM74" s="94"/>
      <c r="CN74" s="402"/>
    </row>
    <row r="75" spans="1:98" x14ac:dyDescent="0.2">
      <c r="AZ75" s="94"/>
      <c r="BA75" s="535"/>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425"/>
    </row>
    <row r="76" spans="1:98" x14ac:dyDescent="0.2">
      <c r="AZ76" s="94"/>
      <c r="BA76" s="535"/>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402"/>
    </row>
    <row r="77" spans="1:98" x14ac:dyDescent="0.2">
      <c r="AZ77" s="94"/>
      <c r="BA77" s="535"/>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402"/>
    </row>
    <row r="78" spans="1:98" x14ac:dyDescent="0.2">
      <c r="AZ78" s="403"/>
      <c r="BA78" s="40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425"/>
    </row>
    <row r="79" spans="1:98" x14ac:dyDescent="0.2">
      <c r="AZ79" s="94"/>
      <c r="BA79" s="535"/>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402"/>
    </row>
    <row r="80" spans="1:98" x14ac:dyDescent="0.2">
      <c r="AZ80" s="94"/>
      <c r="BA80" s="535"/>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402"/>
    </row>
    <row r="81" spans="52:92" s="189" customFormat="1" x14ac:dyDescent="0.2">
      <c r="AZ81" s="403"/>
      <c r="BA81" s="40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425"/>
    </row>
    <row r="82" spans="52:92" s="189" customFormat="1" x14ac:dyDescent="0.2">
      <c r="AZ82" s="94"/>
      <c r="BA82" s="535"/>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402"/>
    </row>
    <row r="83" spans="52:92" s="189" customFormat="1" x14ac:dyDescent="0.2">
      <c r="AZ83" s="403"/>
      <c r="BA83" s="40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425"/>
    </row>
    <row r="84" spans="52:92" s="189" customFormat="1" x14ac:dyDescent="0.2">
      <c r="AZ84" s="94"/>
      <c r="BA84" s="535"/>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402"/>
    </row>
    <row r="85" spans="52:92" s="189" customFormat="1" x14ac:dyDescent="0.2">
      <c r="AZ85" s="94"/>
      <c r="BA85" s="535"/>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402"/>
    </row>
    <row r="86" spans="52:92" s="189" customFormat="1" x14ac:dyDescent="0.2">
      <c r="AZ86" s="94"/>
      <c r="BA86" s="536"/>
      <c r="BB86" s="94"/>
      <c r="BC86" s="94"/>
      <c r="BD86" s="402"/>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402"/>
    </row>
    <row r="87" spans="52:92" s="189" customFormat="1" x14ac:dyDescent="0.2">
      <c r="AZ87" s="94"/>
      <c r="BA87" s="535"/>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425"/>
    </row>
    <row r="88" spans="52:92" s="189" customFormat="1" x14ac:dyDescent="0.2">
      <c r="AZ88" s="403"/>
      <c r="BA88" s="40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402"/>
    </row>
    <row r="89" spans="52:92" s="189" customFormat="1" x14ac:dyDescent="0.2">
      <c r="AZ89" s="425"/>
      <c r="BA89" s="425"/>
      <c r="BB89" s="425"/>
      <c r="BC89" s="425"/>
      <c r="BD89" s="425"/>
      <c r="BE89" s="425"/>
      <c r="BF89" s="425"/>
      <c r="BG89" s="425"/>
      <c r="BH89" s="425"/>
      <c r="BI89" s="425"/>
      <c r="BJ89" s="425"/>
      <c r="BK89" s="425"/>
      <c r="BL89" s="425"/>
      <c r="BM89" s="425"/>
      <c r="BN89" s="425"/>
      <c r="BO89" s="425"/>
      <c r="BP89" s="425"/>
      <c r="BQ89" s="425"/>
      <c r="BR89" s="425"/>
      <c r="BS89" s="425"/>
      <c r="BT89" s="425"/>
      <c r="BU89" s="425"/>
      <c r="BV89" s="425"/>
      <c r="BW89" s="425"/>
      <c r="BX89" s="425"/>
      <c r="BY89" s="425"/>
      <c r="BZ89" s="425"/>
      <c r="CA89" s="425"/>
      <c r="CB89" s="425"/>
      <c r="CC89" s="425"/>
      <c r="CD89" s="425"/>
      <c r="CE89" s="425"/>
      <c r="CF89" s="425"/>
      <c r="CG89" s="425"/>
      <c r="CH89" s="425"/>
      <c r="CI89" s="425"/>
      <c r="CJ89" s="425"/>
      <c r="CK89" s="425"/>
      <c r="CL89" s="425"/>
      <c r="CM89" s="425"/>
      <c r="CN89" s="425"/>
    </row>
    <row r="90" spans="52:92" s="189" customFormat="1" x14ac:dyDescent="0.2">
      <c r="AZ90" s="94"/>
      <c r="BA90" s="535"/>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402"/>
    </row>
    <row r="91" spans="52:92" s="189" customFormat="1" x14ac:dyDescent="0.2">
      <c r="AZ91" s="94"/>
      <c r="BA91" s="535"/>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402"/>
    </row>
    <row r="92" spans="52:92" s="189" customFormat="1" x14ac:dyDescent="0.2">
      <c r="AZ92" s="403"/>
      <c r="BA92" s="40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402"/>
    </row>
    <row r="93" spans="52:92" s="189" customFormat="1" x14ac:dyDescent="0.2">
      <c r="AZ93" s="94"/>
      <c r="BA93" s="537"/>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425"/>
    </row>
    <row r="94" spans="52:92" s="189" customFormat="1" x14ac:dyDescent="0.2">
      <c r="AZ94" s="538"/>
      <c r="BA94" s="40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402"/>
    </row>
    <row r="95" spans="52:92" s="189" customFormat="1" x14ac:dyDescent="0.2">
      <c r="AZ95" s="538"/>
      <c r="BA95" s="40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402"/>
    </row>
    <row r="96" spans="52:92" s="189" customFormat="1" x14ac:dyDescent="0.2">
      <c r="AZ96" s="538"/>
      <c r="BA96" s="40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402"/>
    </row>
    <row r="97" spans="52:92" s="189" customFormat="1" x14ac:dyDescent="0.2">
      <c r="AZ97" s="538"/>
      <c r="BA97" s="40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402"/>
    </row>
    <row r="98" spans="52:92" s="189" customFormat="1" x14ac:dyDescent="0.2">
      <c r="AZ98" s="538"/>
      <c r="BA98" s="40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402"/>
    </row>
    <row r="99" spans="52:92" s="189" customFormat="1" x14ac:dyDescent="0.2">
      <c r="AZ99" s="538"/>
      <c r="BA99" s="40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402"/>
    </row>
    <row r="100" spans="52:92" s="189" customFormat="1" x14ac:dyDescent="0.2">
      <c r="AZ100" s="538"/>
      <c r="BA100" s="40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402"/>
    </row>
    <row r="101" spans="52:92" s="189" customFormat="1" x14ac:dyDescent="0.2">
      <c r="AZ101" s="538"/>
      <c r="BA101" s="40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402"/>
    </row>
    <row r="102" spans="52:92" s="189" customFormat="1" x14ac:dyDescent="0.2">
      <c r="AZ102" s="538"/>
      <c r="BA102" s="40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402"/>
    </row>
    <row r="103" spans="52:92" s="189" customFormat="1" x14ac:dyDescent="0.2">
      <c r="AZ103" s="94"/>
      <c r="BA103" s="535"/>
      <c r="BB103" s="94"/>
      <c r="BC103" s="94"/>
      <c r="BD103" s="402"/>
      <c r="BE103" s="111"/>
      <c r="BF103" s="402"/>
      <c r="BG103" s="402"/>
      <c r="BH103" s="402"/>
      <c r="BI103" s="402"/>
      <c r="BJ103" s="402"/>
      <c r="BK103" s="402"/>
      <c r="BL103" s="402"/>
      <c r="BM103" s="111"/>
      <c r="BN103" s="402"/>
      <c r="BO103" s="111"/>
      <c r="BP103" s="402"/>
      <c r="BQ103" s="111"/>
      <c r="BR103" s="402"/>
      <c r="BS103" s="94"/>
      <c r="BT103" s="402"/>
      <c r="BU103" s="94"/>
      <c r="BV103" s="402"/>
      <c r="BW103" s="94"/>
      <c r="BX103" s="402"/>
      <c r="BY103" s="94"/>
      <c r="BZ103" s="402"/>
      <c r="CA103" s="94"/>
      <c r="CB103" s="402"/>
      <c r="CC103" s="94"/>
      <c r="CD103" s="402"/>
      <c r="CE103" s="111"/>
      <c r="CF103" s="402"/>
      <c r="CG103" s="94"/>
      <c r="CH103" s="402"/>
      <c r="CI103" s="94"/>
      <c r="CJ103" s="402"/>
      <c r="CK103" s="94"/>
      <c r="CL103" s="402"/>
      <c r="CM103" s="94"/>
      <c r="CN103" s="402"/>
    </row>
    <row r="104" spans="52:92" s="189" customFormat="1" x14ac:dyDescent="0.2">
      <c r="AZ104" s="94"/>
      <c r="BA104" s="535"/>
      <c r="BB104" s="94"/>
      <c r="BC104" s="94"/>
      <c r="BD104" s="402"/>
      <c r="BE104" s="111"/>
      <c r="BF104" s="402"/>
      <c r="BG104" s="402"/>
      <c r="BH104" s="402"/>
      <c r="BI104" s="402"/>
      <c r="BJ104" s="402"/>
      <c r="BK104" s="402"/>
      <c r="BL104" s="402"/>
      <c r="BM104" s="111"/>
      <c r="BN104" s="402"/>
      <c r="BO104" s="111"/>
      <c r="BP104" s="402"/>
      <c r="BQ104" s="111"/>
      <c r="BR104" s="402"/>
      <c r="BS104" s="94"/>
      <c r="BT104" s="402"/>
      <c r="BU104" s="94"/>
      <c r="BV104" s="402"/>
      <c r="BW104" s="94"/>
      <c r="BX104" s="402"/>
      <c r="BY104" s="94"/>
      <c r="BZ104" s="402"/>
      <c r="CA104" s="94"/>
      <c r="CB104" s="402"/>
      <c r="CC104" s="94"/>
      <c r="CD104" s="402"/>
      <c r="CE104" s="111"/>
      <c r="CF104" s="402"/>
      <c r="CG104" s="94"/>
      <c r="CH104" s="402"/>
      <c r="CI104" s="94"/>
      <c r="CJ104" s="402"/>
      <c r="CK104" s="94"/>
      <c r="CL104" s="402"/>
      <c r="CM104" s="94"/>
      <c r="CN104" s="402"/>
    </row>
    <row r="105" spans="52:92" s="189" customFormat="1" x14ac:dyDescent="0.2">
      <c r="AZ105" s="403"/>
      <c r="BA105" s="40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row>
    <row r="106" spans="52:92" s="189" customFormat="1" x14ac:dyDescent="0.2">
      <c r="AZ106" s="94"/>
      <c r="BA106" s="535"/>
      <c r="BB106" s="94"/>
      <c r="BC106" s="94"/>
      <c r="BD106" s="402"/>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402"/>
    </row>
    <row r="107" spans="52:92" s="189" customFormat="1" x14ac:dyDescent="0.2">
      <c r="AZ107" s="425"/>
      <c r="BA107" s="425"/>
      <c r="BB107" s="425"/>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402"/>
    </row>
    <row r="108" spans="52:92" s="189" customFormat="1" x14ac:dyDescent="0.2">
      <c r="AZ108" s="187"/>
      <c r="BA108" s="187"/>
      <c r="BB108" s="94"/>
      <c r="BC108" s="425"/>
      <c r="BD108" s="402"/>
      <c r="BE108" s="111"/>
      <c r="BF108" s="402"/>
      <c r="BG108" s="402"/>
      <c r="BH108" s="402"/>
      <c r="BI108" s="402"/>
      <c r="BJ108" s="402"/>
      <c r="BK108" s="402"/>
      <c r="BL108" s="402"/>
      <c r="BM108" s="111"/>
      <c r="BN108" s="402"/>
      <c r="BO108" s="111"/>
      <c r="BP108" s="402"/>
      <c r="BQ108" s="111"/>
      <c r="BR108" s="402"/>
      <c r="BS108" s="94"/>
      <c r="BT108" s="402"/>
      <c r="BU108" s="94"/>
      <c r="BV108" s="402"/>
      <c r="BW108" s="94"/>
      <c r="BX108" s="402"/>
      <c r="BY108" s="94"/>
      <c r="BZ108" s="402"/>
      <c r="CA108" s="94"/>
      <c r="CB108" s="402"/>
      <c r="CC108" s="94"/>
      <c r="CD108" s="402"/>
      <c r="CE108" s="111"/>
      <c r="CF108" s="402"/>
      <c r="CG108" s="94"/>
      <c r="CH108" s="402"/>
      <c r="CI108" s="94"/>
      <c r="CJ108" s="402"/>
      <c r="CK108" s="94"/>
      <c r="CL108" s="402"/>
      <c r="CM108" s="94"/>
      <c r="CN108" s="402"/>
    </row>
    <row r="109" spans="52:92" s="189" customFormat="1" x14ac:dyDescent="0.2">
      <c r="AZ109" s="187"/>
      <c r="BA109" s="187"/>
      <c r="BB109" s="425"/>
      <c r="BC109" s="425"/>
      <c r="BD109" s="425"/>
      <c r="BE109" s="425"/>
      <c r="BF109" s="425"/>
      <c r="BG109" s="425"/>
      <c r="BH109" s="425"/>
      <c r="BI109" s="425"/>
      <c r="BJ109" s="425"/>
      <c r="BK109" s="425"/>
      <c r="BL109" s="425"/>
      <c r="BM109" s="425"/>
      <c r="BN109" s="425"/>
      <c r="BO109" s="425"/>
      <c r="BP109" s="425"/>
      <c r="BQ109" s="425"/>
      <c r="BR109" s="425"/>
      <c r="BS109" s="425"/>
      <c r="BT109" s="425"/>
      <c r="BU109" s="425"/>
      <c r="BV109" s="425"/>
      <c r="BW109" s="425"/>
      <c r="BX109" s="425"/>
      <c r="BY109" s="425"/>
      <c r="BZ109" s="425"/>
      <c r="CA109" s="425"/>
      <c r="CB109" s="425"/>
      <c r="CC109" s="425"/>
      <c r="CD109" s="425"/>
      <c r="CE109" s="425"/>
      <c r="CF109" s="425"/>
      <c r="CG109" s="425"/>
      <c r="CH109" s="425"/>
      <c r="CI109" s="425"/>
      <c r="CJ109" s="425"/>
      <c r="CK109" s="425"/>
      <c r="CL109" s="425"/>
      <c r="CM109" s="425"/>
      <c r="CN109" s="425"/>
    </row>
    <row r="110" spans="52:92" s="189" customFormat="1" x14ac:dyDescent="0.2">
      <c r="AZ110" s="425"/>
      <c r="BA110" s="539"/>
      <c r="BB110" s="425"/>
      <c r="BC110" s="425"/>
      <c r="BD110" s="425"/>
      <c r="BE110" s="425"/>
      <c r="BF110" s="425"/>
      <c r="BG110" s="425"/>
      <c r="BH110" s="425"/>
      <c r="BI110" s="425"/>
      <c r="BJ110" s="425"/>
      <c r="BK110" s="425"/>
      <c r="BL110" s="425"/>
      <c r="BM110" s="425"/>
      <c r="BN110" s="425"/>
      <c r="BO110" s="425"/>
      <c r="BP110" s="425"/>
      <c r="BQ110" s="425"/>
      <c r="BR110" s="425"/>
      <c r="BS110" s="425"/>
      <c r="BT110" s="425"/>
      <c r="BU110" s="425"/>
      <c r="BV110" s="425"/>
      <c r="BW110" s="425"/>
      <c r="BX110" s="425"/>
      <c r="BY110" s="425"/>
      <c r="BZ110" s="425"/>
      <c r="CA110" s="425"/>
      <c r="CB110" s="425"/>
      <c r="CC110" s="425"/>
      <c r="CD110" s="425"/>
      <c r="CE110" s="425"/>
      <c r="CF110" s="425"/>
      <c r="CG110" s="425"/>
      <c r="CH110" s="425"/>
      <c r="CI110" s="425"/>
      <c r="CJ110" s="425"/>
      <c r="CK110" s="425"/>
      <c r="CL110" s="425"/>
      <c r="CM110" s="425"/>
      <c r="CN110" s="425"/>
    </row>
  </sheetData>
  <sheetProtection sheet="1" formatCells="0" formatColumns="0" formatRows="0" insertColumns="0" insertRows="0" insertHyperlinks="0"/>
  <mergeCells count="33">
    <mergeCell ref="D65:AX65"/>
    <mergeCell ref="D58:AX58"/>
    <mergeCell ref="D59:AX59"/>
    <mergeCell ref="D60:AX60"/>
    <mergeCell ref="D61:AX61"/>
    <mergeCell ref="D57:AX57"/>
    <mergeCell ref="D63:AX63"/>
    <mergeCell ref="D64:AX64"/>
    <mergeCell ref="D62:AX62"/>
    <mergeCell ref="C5:AN5"/>
    <mergeCell ref="D27:AX27"/>
    <mergeCell ref="D46:AX46"/>
    <mergeCell ref="D47:AX47"/>
    <mergeCell ref="D29:AX29"/>
    <mergeCell ref="AM33:AT33"/>
    <mergeCell ref="D55:AX55"/>
    <mergeCell ref="D56:AX56"/>
    <mergeCell ref="D49:AX49"/>
    <mergeCell ref="AM35:AT35"/>
    <mergeCell ref="AM37:AT37"/>
    <mergeCell ref="D28:AX28"/>
    <mergeCell ref="D53:AX53"/>
    <mergeCell ref="D52:AX52"/>
    <mergeCell ref="D54:AX54"/>
    <mergeCell ref="AI6:AV6"/>
    <mergeCell ref="Z33:AG37"/>
    <mergeCell ref="D30:AX30"/>
    <mergeCell ref="D51:AX51"/>
    <mergeCell ref="AM31:AT31"/>
    <mergeCell ref="D45:AX45"/>
    <mergeCell ref="D44:AX44"/>
    <mergeCell ref="D50:AX50"/>
    <mergeCell ref="D48:AX48"/>
  </mergeCells>
  <conditionalFormatting sqref="F8">
    <cfRule type="cellIs" dxfId="93" priority="78" stopIfTrue="1" operator="lessThan">
      <formula>0.99*(F9+F10+F11+F12+F13)</formula>
    </cfRule>
  </conditionalFormatting>
  <conditionalFormatting sqref="F14">
    <cfRule type="cellIs" dxfId="92" priority="77" stopIfTrue="1" operator="lessThan">
      <formula>0.99*(F15+F16+F17)</formula>
    </cfRule>
  </conditionalFormatting>
  <conditionalFormatting sqref="F18">
    <cfRule type="cellIs" dxfId="91" priority="76" stopIfTrue="1" operator="lessThan">
      <formula>0.99*(F19+F20+F21)</formula>
    </cfRule>
  </conditionalFormatting>
  <conditionalFormatting sqref="H8">
    <cfRule type="cellIs" dxfId="90" priority="75" stopIfTrue="1" operator="lessThan">
      <formula>0.99*(H9+H10+H11+H12+H13)</formula>
    </cfRule>
  </conditionalFormatting>
  <conditionalFormatting sqref="H14">
    <cfRule type="cellIs" dxfId="89" priority="74" stopIfTrue="1" operator="lessThan">
      <formula>0.99*(H15+H16+H17)</formula>
    </cfRule>
  </conditionalFormatting>
  <conditionalFormatting sqref="H18">
    <cfRule type="cellIs" dxfId="88" priority="73" stopIfTrue="1" operator="lessThan">
      <formula>0.99*(H19+H20+H21)</formula>
    </cfRule>
  </conditionalFormatting>
  <conditionalFormatting sqref="J8">
    <cfRule type="cellIs" dxfId="87" priority="72" stopIfTrue="1" operator="lessThan">
      <formula>0.99*(J9+J10+J11+J12+J13)</formula>
    </cfRule>
  </conditionalFormatting>
  <conditionalFormatting sqref="J14">
    <cfRule type="cellIs" dxfId="86" priority="71" stopIfTrue="1" operator="lessThan">
      <formula>0.99*(J15+J16+J17)</formula>
    </cfRule>
  </conditionalFormatting>
  <conditionalFormatting sqref="J18">
    <cfRule type="cellIs" dxfId="85" priority="70" stopIfTrue="1" operator="lessThan">
      <formula>0.99*(J19+J20+J21)</formula>
    </cfRule>
  </conditionalFormatting>
  <conditionalFormatting sqref="L8">
    <cfRule type="cellIs" dxfId="84" priority="69" stopIfTrue="1" operator="lessThan">
      <formula>0.99*(L9+L10+L11+L12+L13)</formula>
    </cfRule>
  </conditionalFormatting>
  <conditionalFormatting sqref="L14">
    <cfRule type="cellIs" dxfId="83" priority="68" stopIfTrue="1" operator="lessThan">
      <formula>0.99*(L15+L16+L17)</formula>
    </cfRule>
  </conditionalFormatting>
  <conditionalFormatting sqref="L18">
    <cfRule type="cellIs" dxfId="82" priority="67" stopIfTrue="1" operator="lessThan">
      <formula>0.99*(L19+L20+L21)</formula>
    </cfRule>
  </conditionalFormatting>
  <conditionalFormatting sqref="N8">
    <cfRule type="cellIs" dxfId="81" priority="66" stopIfTrue="1" operator="lessThan">
      <formula>0.99*(N9+N10+N11+N12+N13)</formula>
    </cfRule>
  </conditionalFormatting>
  <conditionalFormatting sqref="N14">
    <cfRule type="cellIs" dxfId="80" priority="65" stopIfTrue="1" operator="lessThan">
      <formula>0.99*(N15+N16+N17)</formula>
    </cfRule>
  </conditionalFormatting>
  <conditionalFormatting sqref="N18">
    <cfRule type="cellIs" dxfId="79" priority="64" stopIfTrue="1" operator="lessThan">
      <formula>0.99*(N19+N20+N21)</formula>
    </cfRule>
  </conditionalFormatting>
  <conditionalFormatting sqref="P8">
    <cfRule type="cellIs" dxfId="78" priority="63" stopIfTrue="1" operator="lessThan">
      <formula>0.99*(P9+P10+P11+P12+P13)</formula>
    </cfRule>
  </conditionalFormatting>
  <conditionalFormatting sqref="P14">
    <cfRule type="cellIs" dxfId="77" priority="62" stopIfTrue="1" operator="lessThan">
      <formula>0.99*(P15+P16+P17)</formula>
    </cfRule>
  </conditionalFormatting>
  <conditionalFormatting sqref="P18">
    <cfRule type="cellIs" dxfId="76" priority="61" stopIfTrue="1" operator="lessThan">
      <formula>0.99*(P19+P20+P21)</formula>
    </cfRule>
  </conditionalFormatting>
  <conditionalFormatting sqref="R8">
    <cfRule type="cellIs" dxfId="75" priority="60" stopIfTrue="1" operator="lessThan">
      <formula>0.99*(R9+R10+R11+R12+R13)</formula>
    </cfRule>
  </conditionalFormatting>
  <conditionalFormatting sqref="R14">
    <cfRule type="cellIs" dxfId="74" priority="59" stopIfTrue="1" operator="lessThan">
      <formula>0.99*(R15+R16+R17)</formula>
    </cfRule>
  </conditionalFormatting>
  <conditionalFormatting sqref="R18">
    <cfRule type="cellIs" dxfId="73" priority="58" stopIfTrue="1" operator="lessThan">
      <formula>0.99*(R19+R20+R21)</formula>
    </cfRule>
  </conditionalFormatting>
  <conditionalFormatting sqref="T8">
    <cfRule type="cellIs" dxfId="72" priority="57" stopIfTrue="1" operator="lessThan">
      <formula>0.99*(T9+T10+T11+T12+T13)</formula>
    </cfRule>
  </conditionalFormatting>
  <conditionalFormatting sqref="T14">
    <cfRule type="cellIs" dxfId="71" priority="56" stopIfTrue="1" operator="lessThan">
      <formula>0.99*(T15+T16+T17)</formula>
    </cfRule>
  </conditionalFormatting>
  <conditionalFormatting sqref="T18">
    <cfRule type="cellIs" dxfId="70" priority="55" stopIfTrue="1" operator="lessThan">
      <formula>0.99*(T19+T20+T21)</formula>
    </cfRule>
  </conditionalFormatting>
  <conditionalFormatting sqref="V8">
    <cfRule type="cellIs" dxfId="69" priority="54" stopIfTrue="1" operator="lessThan">
      <formula>0.99*(V9+V10+V11+V12+V13)</formula>
    </cfRule>
  </conditionalFormatting>
  <conditionalFormatting sqref="V14">
    <cfRule type="cellIs" dxfId="68" priority="53" stopIfTrue="1" operator="lessThan">
      <formula>0.99*(V15+V16+V17)</formula>
    </cfRule>
  </conditionalFormatting>
  <conditionalFormatting sqref="V18">
    <cfRule type="cellIs" dxfId="67" priority="52" stopIfTrue="1" operator="lessThan">
      <formula>0.99*(V19+V20+V21)</formula>
    </cfRule>
  </conditionalFormatting>
  <conditionalFormatting sqref="X8">
    <cfRule type="cellIs" dxfId="66" priority="51" stopIfTrue="1" operator="lessThan">
      <formula>0.99*(X9+X10+X11+X12+X13)</formula>
    </cfRule>
  </conditionalFormatting>
  <conditionalFormatting sqref="X14">
    <cfRule type="cellIs" dxfId="65" priority="50" stopIfTrue="1" operator="lessThan">
      <formula>0.99*(X15+X16+X17)</formula>
    </cfRule>
  </conditionalFormatting>
  <conditionalFormatting sqref="X18">
    <cfRule type="cellIs" dxfId="64" priority="49" stopIfTrue="1" operator="lessThan">
      <formula>0.99*(X19+X20+X21)</formula>
    </cfRule>
  </conditionalFormatting>
  <conditionalFormatting sqref="Z8">
    <cfRule type="cellIs" dxfId="63" priority="48" stopIfTrue="1" operator="lessThan">
      <formula>0.99*(Z9+Z10+Z11+Z12+Z13)</formula>
    </cfRule>
  </conditionalFormatting>
  <conditionalFormatting sqref="Z14">
    <cfRule type="cellIs" dxfId="62" priority="47" stopIfTrue="1" operator="lessThan">
      <formula>0.99*(Z15+Z16+Z17)</formula>
    </cfRule>
  </conditionalFormatting>
  <conditionalFormatting sqref="Z18">
    <cfRule type="cellIs" dxfId="61" priority="46" stopIfTrue="1" operator="lessThan">
      <formula>0.99*(Z19+Z20+Z21)</formula>
    </cfRule>
  </conditionalFormatting>
  <conditionalFormatting sqref="AB8">
    <cfRule type="cellIs" dxfId="60" priority="45" stopIfTrue="1" operator="lessThan">
      <formula>0.99*(AB9+AB10+AB11+AB12+AB13)</formula>
    </cfRule>
  </conditionalFormatting>
  <conditionalFormatting sqref="AB14">
    <cfRule type="cellIs" dxfId="59" priority="44" stopIfTrue="1" operator="lessThan">
      <formula>0.99*(AB15+AB16+AB17)</formula>
    </cfRule>
  </conditionalFormatting>
  <conditionalFormatting sqref="AB18">
    <cfRule type="cellIs" dxfId="58" priority="43" stopIfTrue="1" operator="lessThan">
      <formula>0.99*(AB19+AB20+AB21)</formula>
    </cfRule>
  </conditionalFormatting>
  <conditionalFormatting sqref="AD8">
    <cfRule type="cellIs" dxfId="57" priority="42" stopIfTrue="1" operator="lessThan">
      <formula>0.99*(AD9+AD10+AD11+AD12+AD13)</formula>
    </cfRule>
  </conditionalFormatting>
  <conditionalFormatting sqref="AD14">
    <cfRule type="cellIs" dxfId="56" priority="41" stopIfTrue="1" operator="lessThan">
      <formula>0.99*(AD15+AD16+AD17)</formula>
    </cfRule>
  </conditionalFormatting>
  <conditionalFormatting sqref="AD18">
    <cfRule type="cellIs" dxfId="55" priority="40" stopIfTrue="1" operator="lessThan">
      <formula>0.99*(AD19+AD20+AD21)</formula>
    </cfRule>
  </conditionalFormatting>
  <conditionalFormatting sqref="AF8">
    <cfRule type="cellIs" dxfId="54" priority="39" stopIfTrue="1" operator="lessThan">
      <formula>0.99*(AF9+AF10+AF11+AF12+AF13)</formula>
    </cfRule>
  </conditionalFormatting>
  <conditionalFormatting sqref="AF14">
    <cfRule type="cellIs" dxfId="53" priority="38" stopIfTrue="1" operator="lessThan">
      <formula>0.99*(AF15+AF16+AF17)</formula>
    </cfRule>
  </conditionalFormatting>
  <conditionalFormatting sqref="AF18">
    <cfRule type="cellIs" dxfId="52" priority="37" stopIfTrue="1" operator="lessThan">
      <formula>0.99*(AF19+AF20+AF21)</formula>
    </cfRule>
  </conditionalFormatting>
  <conditionalFormatting sqref="AH8">
    <cfRule type="cellIs" dxfId="51" priority="36" stopIfTrue="1" operator="lessThan">
      <formula>0.99*(AH9+AH10+AH11+AH12+AH13)</formula>
    </cfRule>
  </conditionalFormatting>
  <conditionalFormatting sqref="AH14">
    <cfRule type="cellIs" dxfId="50" priority="35" stopIfTrue="1" operator="lessThan">
      <formula>0.99*(AH15+AH16+AH17)</formula>
    </cfRule>
  </conditionalFormatting>
  <conditionalFormatting sqref="AH18">
    <cfRule type="cellIs" dxfId="49" priority="34" stopIfTrue="1" operator="lessThan">
      <formula>0.99*(AH19+AH20+AH21)</formula>
    </cfRule>
  </conditionalFormatting>
  <conditionalFormatting sqref="AJ8">
    <cfRule type="cellIs" dxfId="48" priority="33" stopIfTrue="1" operator="lessThan">
      <formula>0.99*(AJ9+AJ10+AJ11+AJ12+AJ13)</formula>
    </cfRule>
  </conditionalFormatting>
  <conditionalFormatting sqref="AJ14">
    <cfRule type="cellIs" dxfId="47" priority="32" stopIfTrue="1" operator="lessThan">
      <formula>0.99*(AJ15+AJ16+AJ17)</formula>
    </cfRule>
  </conditionalFormatting>
  <conditionalFormatting sqref="AJ18">
    <cfRule type="cellIs" dxfId="46" priority="31" stopIfTrue="1" operator="lessThan">
      <formula>0.99*(AJ19+AJ20+AJ21)</formula>
    </cfRule>
  </conditionalFormatting>
  <conditionalFormatting sqref="AL8">
    <cfRule type="cellIs" dxfId="45" priority="30" stopIfTrue="1" operator="lessThan">
      <formula>0.99*(AL9+AL10+AL11+AL12+AL13)</formula>
    </cfRule>
  </conditionalFormatting>
  <conditionalFormatting sqref="AL14">
    <cfRule type="cellIs" dxfId="44" priority="29" stopIfTrue="1" operator="lessThan">
      <formula>0.99*(AL15+AL16+AL17)</formula>
    </cfRule>
  </conditionalFormatting>
  <conditionalFormatting sqref="AL18">
    <cfRule type="cellIs" dxfId="43" priority="28" stopIfTrue="1" operator="lessThan">
      <formula>0.99*(AL19+AL20+AL21)</formula>
    </cfRule>
  </conditionalFormatting>
  <conditionalFormatting sqref="AN8">
    <cfRule type="cellIs" dxfId="42" priority="27" stopIfTrue="1" operator="lessThan">
      <formula>0.99*(AN9+AN10+AN11+AN12+AN13)</formula>
    </cfRule>
  </conditionalFormatting>
  <conditionalFormatting sqref="AN14">
    <cfRule type="cellIs" dxfId="41" priority="26" stopIfTrue="1" operator="lessThan">
      <formula>0.99*(AN15+AN16+AN17)</formula>
    </cfRule>
  </conditionalFormatting>
  <conditionalFormatting sqref="AN18">
    <cfRule type="cellIs" dxfId="40" priority="25" stopIfTrue="1" operator="lessThan">
      <formula>0.99*(AN19+AN20+AN21)</formula>
    </cfRule>
  </conditionalFormatting>
  <conditionalFormatting sqref="AP8">
    <cfRule type="cellIs" dxfId="39" priority="24" stopIfTrue="1" operator="lessThan">
      <formula>0.99*(AP9+AP10+AP11+AP12+AP13)</formula>
    </cfRule>
  </conditionalFormatting>
  <conditionalFormatting sqref="AP14">
    <cfRule type="cellIs" dxfId="38" priority="23" stopIfTrue="1" operator="lessThan">
      <formula>0.99*(AP15+AP16+AP17)</formula>
    </cfRule>
  </conditionalFormatting>
  <conditionalFormatting sqref="AP18">
    <cfRule type="cellIs" dxfId="37" priority="22" stopIfTrue="1" operator="lessThan">
      <formula>0.99*(AP19+AP20+AP21)</formula>
    </cfRule>
  </conditionalFormatting>
  <conditionalFormatting sqref="AR8">
    <cfRule type="cellIs" dxfId="36" priority="21" stopIfTrue="1" operator="lessThan">
      <formula>0.99*(AR9+AR10+AR11+AR12+AR13)</formula>
    </cfRule>
  </conditionalFormatting>
  <conditionalFormatting sqref="AR14">
    <cfRule type="cellIs" dxfId="35" priority="20" stopIfTrue="1" operator="lessThan">
      <formula>0.99*(AR15+AR16+AR17)</formula>
    </cfRule>
  </conditionalFormatting>
  <conditionalFormatting sqref="AR18">
    <cfRule type="cellIs" dxfId="34" priority="19" stopIfTrue="1" operator="lessThan">
      <formula>0.99*(AR19+AR20+AR21)</formula>
    </cfRule>
  </conditionalFormatting>
  <conditionalFormatting sqref="AT8">
    <cfRule type="cellIs" dxfId="33" priority="18" stopIfTrue="1" operator="lessThan">
      <formula>0.99*(AT9+AT10+AT11+AT12+AT13)</formula>
    </cfRule>
  </conditionalFormatting>
  <conditionalFormatting sqref="AT14">
    <cfRule type="cellIs" dxfId="32" priority="17" stopIfTrue="1" operator="lessThan">
      <formula>0.99*(AT15+AT16+AT17)</formula>
    </cfRule>
  </conditionalFormatting>
  <conditionalFormatting sqref="AT18">
    <cfRule type="cellIs" dxfId="31" priority="16" stopIfTrue="1" operator="lessThan">
      <formula>0.99*(AT19+AT20+AT21)</formula>
    </cfRule>
  </conditionalFormatting>
  <conditionalFormatting sqref="AV8">
    <cfRule type="cellIs" dxfId="30" priority="15" stopIfTrue="1" operator="lessThan">
      <formula>0.99*(AV9+AV10+AV11+AV12+AV13)</formula>
    </cfRule>
  </conditionalFormatting>
  <conditionalFormatting sqref="AV14">
    <cfRule type="cellIs" dxfId="29" priority="14" stopIfTrue="1" operator="lessThan">
      <formula>0.99*(AV15+AV16+AV17)</formula>
    </cfRule>
  </conditionalFormatting>
  <conditionalFormatting sqref="AV18">
    <cfRule type="cellIs" dxfId="28" priority="13" stopIfTrue="1" operator="lessThan">
      <formula>0.99*(AV19+AV20+AV21)</formula>
    </cfRule>
  </conditionalFormatting>
  <conditionalFormatting sqref="BC44:CS44 BC33:CS33 BC39:CS39 CS30 CA30 BY30 BW30 BU30 BS30 BQ30 CQ30 CO30 CM30 CK30 CI30 CG30 CE30 CC30 BC30 BE30 BG30 BI30 BK30 BM30 BO30">
    <cfRule type="cellIs" dxfId="27" priority="12" stopIfTrue="1" operator="equal">
      <formula>"&lt;&gt;"</formula>
    </cfRule>
  </conditionalFormatting>
  <conditionalFormatting sqref="BE8:BE24">
    <cfRule type="cellIs" dxfId="26" priority="10" stopIfTrue="1" operator="equal">
      <formula>"&gt; 100%"</formula>
    </cfRule>
  </conditionalFormatting>
  <conditionalFormatting sqref="BO8:BO24 BQ8:BQ24 BS8:BS24 BU8:BU24 BW8:BW24 BY8:BY24 CA8:CA24 CC8:CC24 CE8:CE24 CG8:CG24 CI8:CI24 CK8:CK24 CM8:CM24 CO8:CO24 CQ8:CQ24 CS8:CS24 BG8:BG24 BI8:BI24 BK8:BK24 BM8:BM24">
    <cfRule type="cellIs" dxfId="25" priority="9" stopIfTrue="1" operator="equal">
      <formula>"&gt; 25%"</formula>
    </cfRule>
  </conditionalFormatting>
  <printOptions horizontalCentered="1"/>
  <pageMargins left="0.56000000000000005" right="0.4" top="0.31" bottom="0.46" header="0.18" footer="0.25"/>
  <pageSetup paperSize="9" scale="65" fitToHeight="2" orientation="landscape" r:id="rId1"/>
  <headerFooter alignWithMargins="0">
    <oddFooter>&amp;C&amp;"Arial,Normal"&amp;8Questionnaire UNSD/PNUE 2013 sur les Statistiques de l'environnement - Section d'eau - p.&amp;P</oddFooter>
  </headerFooter>
  <rowBreaks count="1" manualBreakCount="1">
    <brk id="40"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H73"/>
  <sheetViews>
    <sheetView showGridLines="0" topLeftCell="C1" zoomScale="85" zoomScaleNormal="85" zoomScaleSheetLayoutView="100" workbookViewId="0">
      <selection activeCell="C1" sqref="C1"/>
    </sheetView>
  </sheetViews>
  <sheetFormatPr defaultColWidth="9.33203125" defaultRowHeight="12.75" x14ac:dyDescent="0.2"/>
  <cols>
    <col min="1" max="1" width="2.1640625" style="175" hidden="1" customWidth="1"/>
    <col min="2" max="2" width="5.1640625" style="176" hidden="1" customWidth="1"/>
    <col min="3" max="3" width="7" style="189" customWidth="1"/>
    <col min="4" max="4" width="32" style="189" customWidth="1"/>
    <col min="5" max="5" width="8.6640625" style="189" customWidth="1"/>
    <col min="6" max="6" width="7.83203125" style="189" customWidth="1"/>
    <col min="7" max="7" width="1.83203125" style="189" customWidth="1"/>
    <col min="8" max="8" width="7" style="263" hidden="1" customWidth="1"/>
    <col min="9" max="9" width="1.83203125" style="264" hidden="1" customWidth="1"/>
    <col min="10" max="10" width="7" style="264" hidden="1" customWidth="1"/>
    <col min="11" max="11" width="1.83203125" style="264" hidden="1" customWidth="1"/>
    <col min="12" max="12" width="7" style="264" hidden="1" customWidth="1"/>
    <col min="13" max="13" width="1.83203125" style="264" hidden="1" customWidth="1"/>
    <col min="14" max="14" width="7" style="264" hidden="1" customWidth="1"/>
    <col min="15" max="15" width="1.83203125" style="264" hidden="1" customWidth="1"/>
    <col min="16" max="16" width="7" style="265" hidden="1" customWidth="1"/>
    <col min="17" max="17" width="1.83203125" style="264" hidden="1" customWidth="1"/>
    <col min="18" max="18" width="7" style="265" hidden="1" customWidth="1"/>
    <col min="19" max="19" width="1.83203125" style="264" hidden="1" customWidth="1"/>
    <col min="20" max="20" width="7" style="265" hidden="1" customWidth="1"/>
    <col min="21" max="21" width="1.83203125" style="264" hidden="1" customWidth="1"/>
    <col min="22" max="22" width="7" style="265" hidden="1" customWidth="1"/>
    <col min="23" max="23" width="1.83203125" style="264" hidden="1" customWidth="1"/>
    <col min="24" max="24" width="7" style="263" hidden="1" customWidth="1"/>
    <col min="25" max="25" width="1.83203125" style="264" hidden="1" customWidth="1"/>
    <col min="26" max="26" width="7" style="263" customWidth="1"/>
    <col min="27" max="27" width="1.83203125" style="264" customWidth="1"/>
    <col min="28" max="28" width="7" style="263" customWidth="1"/>
    <col min="29" max="29" width="1.83203125" style="264" customWidth="1"/>
    <col min="30" max="30" width="7" style="263" customWidth="1"/>
    <col min="31" max="31" width="1.83203125" style="264" customWidth="1"/>
    <col min="32" max="32" width="7" style="263" customWidth="1"/>
    <col min="33" max="33" width="1.83203125" style="264" customWidth="1"/>
    <col min="34" max="34" width="7" style="263" customWidth="1"/>
    <col min="35" max="35" width="1.83203125" style="264" customWidth="1"/>
    <col min="36" max="36" width="7" style="265" customWidth="1"/>
    <col min="37" max="37" width="1.83203125" style="264" customWidth="1"/>
    <col min="38" max="38" width="7" style="263" customWidth="1"/>
    <col min="39" max="39" width="1.83203125" style="264" customWidth="1"/>
    <col min="40" max="40" width="7" style="263" customWidth="1"/>
    <col min="41" max="41" width="1.83203125" style="202" customWidth="1"/>
    <col min="42" max="42" width="8.1640625" style="202" customWidth="1"/>
    <col min="43" max="43" width="2.6640625" style="202" customWidth="1"/>
    <col min="44" max="44" width="7" style="202" customWidth="1"/>
    <col min="45" max="45" width="2.83203125" style="202" customWidth="1"/>
    <col min="46" max="46" width="7" style="263" customWidth="1"/>
    <col min="47" max="47" width="2.6640625" style="264" customWidth="1"/>
    <col min="48" max="48" width="7" style="263" customWidth="1"/>
    <col min="49" max="49" width="1.83203125" style="264" customWidth="1"/>
    <col min="50" max="50" width="1.83203125" style="189" customWidth="1"/>
    <col min="51" max="51" width="4.5" style="189" customWidth="1"/>
    <col min="52" max="52" width="6.6640625" style="187" customWidth="1"/>
    <col min="53" max="53" width="26.83203125" style="187" customWidth="1"/>
    <col min="54" max="54" width="7.1640625" style="187" customWidth="1"/>
    <col min="55" max="55" width="6.83203125" style="187" customWidth="1"/>
    <col min="56" max="56" width="1.83203125" style="187" customWidth="1"/>
    <col min="57" max="57" width="6.83203125" style="187" customWidth="1"/>
    <col min="58" max="58" width="1.83203125" style="187" customWidth="1"/>
    <col min="59" max="59" width="6.83203125" style="187" customWidth="1"/>
    <col min="60" max="60" width="1.83203125" style="187" customWidth="1"/>
    <col min="61" max="61" width="6.83203125" style="187" customWidth="1"/>
    <col min="62" max="62" width="1.83203125" style="187" customWidth="1"/>
    <col min="63" max="63" width="6.83203125" style="187" customWidth="1"/>
    <col min="64" max="64" width="1.83203125" style="187" customWidth="1"/>
    <col min="65" max="65" width="6.83203125" style="187" customWidth="1"/>
    <col min="66" max="66" width="1.83203125" style="187" customWidth="1"/>
    <col min="67" max="67" width="6.83203125" style="187" customWidth="1"/>
    <col min="68" max="68" width="1.83203125" style="187" customWidth="1"/>
    <col min="69" max="69" width="6.83203125" style="187" customWidth="1"/>
    <col min="70" max="70" width="1.83203125" style="187" customWidth="1"/>
    <col min="71" max="71" width="6.83203125" style="187" customWidth="1"/>
    <col min="72" max="72" width="1.83203125" style="187" customWidth="1"/>
    <col min="73" max="73" width="6.83203125" style="187" customWidth="1"/>
    <col min="74" max="74" width="1.83203125" style="187" customWidth="1"/>
    <col min="75" max="75" width="6.83203125" style="187" customWidth="1"/>
    <col min="76" max="76" width="1.83203125" style="187" customWidth="1"/>
    <col min="77" max="77" width="6.83203125" style="187" customWidth="1"/>
    <col min="78" max="78" width="1.83203125" style="187" customWidth="1"/>
    <col min="79" max="79" width="6.83203125" style="187" customWidth="1"/>
    <col min="80" max="80" width="1.83203125" style="187" customWidth="1"/>
    <col min="81" max="81" width="6.83203125" style="187" customWidth="1"/>
    <col min="82" max="82" width="1.83203125" style="187" customWidth="1"/>
    <col min="83" max="83" width="6.83203125" style="187" customWidth="1"/>
    <col min="84" max="84" width="1.83203125" style="187" customWidth="1"/>
    <col min="85" max="85" width="6.83203125" style="187" customWidth="1"/>
    <col min="86" max="86" width="1.83203125" style="187" customWidth="1"/>
    <col min="87" max="87" width="6.83203125" style="187" customWidth="1"/>
    <col min="88" max="88" width="1.83203125" style="187" customWidth="1"/>
    <col min="89" max="89" width="6.83203125" style="187" customWidth="1"/>
    <col min="90" max="90" width="1.83203125" style="187" customWidth="1"/>
    <col min="91" max="91" width="6.83203125" style="187" customWidth="1"/>
    <col min="92" max="92" width="1.83203125" style="187" customWidth="1"/>
    <col min="93" max="93" width="6.83203125" style="187" customWidth="1"/>
    <col min="94" max="94" width="1.83203125" style="187" customWidth="1"/>
    <col min="95" max="95" width="6.83203125" style="187" customWidth="1"/>
    <col min="96" max="96" width="1.83203125" style="187" customWidth="1"/>
    <col min="97" max="97" width="6.83203125" style="187" customWidth="1"/>
    <col min="98" max="98" width="1.83203125" style="187" customWidth="1"/>
    <col min="99" max="16384" width="9.33203125" style="189"/>
  </cols>
  <sheetData>
    <row r="1" spans="1:112" s="424" customFormat="1" ht="15" customHeight="1" x14ac:dyDescent="0.25">
      <c r="A1" s="423"/>
      <c r="B1" s="176">
        <v>0</v>
      </c>
      <c r="C1" s="177" t="s">
        <v>171</v>
      </c>
      <c r="D1" s="177"/>
      <c r="E1" s="321"/>
      <c r="F1" s="321"/>
      <c r="G1" s="321"/>
      <c r="H1" s="322"/>
      <c r="I1" s="323"/>
      <c r="J1" s="323"/>
      <c r="K1" s="323"/>
      <c r="L1" s="323"/>
      <c r="M1" s="323"/>
      <c r="N1" s="323"/>
      <c r="O1" s="323"/>
      <c r="P1" s="324"/>
      <c r="Q1" s="323"/>
      <c r="R1" s="324"/>
      <c r="S1" s="323"/>
      <c r="T1" s="324"/>
      <c r="U1" s="323"/>
      <c r="V1" s="324"/>
      <c r="W1" s="323"/>
      <c r="X1" s="322"/>
      <c r="Y1" s="323"/>
      <c r="Z1" s="322"/>
      <c r="AA1" s="323"/>
      <c r="AB1" s="322"/>
      <c r="AC1" s="323"/>
      <c r="AD1" s="322"/>
      <c r="AE1" s="323"/>
      <c r="AF1" s="322"/>
      <c r="AG1" s="323"/>
      <c r="AH1" s="322"/>
      <c r="AI1" s="323"/>
      <c r="AJ1" s="324"/>
      <c r="AK1" s="323"/>
      <c r="AL1" s="322"/>
      <c r="AM1" s="323"/>
      <c r="AN1" s="322"/>
      <c r="AO1" s="540"/>
      <c r="AP1" s="540"/>
      <c r="AQ1" s="540"/>
      <c r="AR1" s="540"/>
      <c r="AS1" s="540"/>
      <c r="AT1" s="322"/>
      <c r="AU1" s="323"/>
      <c r="AV1" s="322"/>
      <c r="AW1" s="323"/>
      <c r="AX1" s="481"/>
      <c r="AY1" s="571"/>
      <c r="AZ1" s="188" t="s">
        <v>470</v>
      </c>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26"/>
    </row>
    <row r="2" spans="1:112" ht="7.5" customHeight="1" x14ac:dyDescent="0.2">
      <c r="E2" s="325"/>
      <c r="F2" s="325"/>
      <c r="G2" s="325"/>
      <c r="H2" s="329"/>
      <c r="AE2" s="334"/>
      <c r="AF2" s="329"/>
      <c r="AG2" s="334"/>
      <c r="AH2" s="329"/>
      <c r="AI2" s="334"/>
      <c r="AJ2" s="410"/>
      <c r="AK2" s="334"/>
      <c r="AL2" s="329"/>
      <c r="AM2" s="334"/>
      <c r="AN2" s="329"/>
      <c r="AT2" s="329"/>
      <c r="AV2" s="329"/>
    </row>
    <row r="3" spans="1:112" s="346" customFormat="1" ht="17.25" customHeight="1" x14ac:dyDescent="0.25">
      <c r="A3" s="275"/>
      <c r="B3" s="275">
        <v>504</v>
      </c>
      <c r="C3" s="330" t="s">
        <v>323</v>
      </c>
      <c r="D3" s="25" t="s">
        <v>102</v>
      </c>
      <c r="E3" s="412"/>
      <c r="F3" s="413"/>
      <c r="G3" s="414"/>
      <c r="H3" s="415"/>
      <c r="I3" s="416"/>
      <c r="J3" s="416"/>
      <c r="K3" s="416"/>
      <c r="L3" s="416"/>
      <c r="M3" s="416"/>
      <c r="N3" s="416"/>
      <c r="O3" s="416"/>
      <c r="P3" s="415"/>
      <c r="Q3" s="416"/>
      <c r="R3" s="415"/>
      <c r="S3" s="416"/>
      <c r="T3" s="415"/>
      <c r="U3" s="416"/>
      <c r="V3" s="415"/>
      <c r="W3" s="414"/>
      <c r="X3" s="415"/>
      <c r="Y3" s="414"/>
      <c r="Z3" s="105"/>
      <c r="AA3" s="417"/>
      <c r="AB3" s="53"/>
      <c r="AC3" s="330" t="s">
        <v>297</v>
      </c>
      <c r="AD3" s="332"/>
      <c r="AE3" s="331"/>
      <c r="AF3" s="332"/>
      <c r="AG3" s="333"/>
      <c r="AH3" s="332"/>
      <c r="AI3" s="414"/>
      <c r="AJ3" s="670" t="s">
        <v>638</v>
      </c>
      <c r="AK3" s="414"/>
      <c r="AL3" s="419"/>
      <c r="AM3" s="414"/>
      <c r="AN3" s="666"/>
      <c r="AO3" s="418"/>
      <c r="AP3" s="418"/>
      <c r="AQ3" s="418"/>
      <c r="AR3" s="418"/>
      <c r="AS3" s="418"/>
      <c r="AT3" s="419"/>
      <c r="AU3" s="419"/>
      <c r="AV3" s="419"/>
      <c r="AW3" s="419"/>
      <c r="AX3" s="419"/>
      <c r="AY3" s="419"/>
      <c r="AZ3" s="337" t="s">
        <v>444</v>
      </c>
      <c r="BA3" s="426"/>
      <c r="BB3" s="344"/>
      <c r="BC3" s="427"/>
      <c r="BD3" s="427"/>
      <c r="BE3" s="482"/>
      <c r="BF3" s="482"/>
      <c r="BG3" s="482"/>
      <c r="BH3" s="482"/>
      <c r="BI3" s="428"/>
      <c r="BJ3" s="428"/>
      <c r="BK3" s="428"/>
      <c r="BL3" s="428"/>
      <c r="BM3" s="482"/>
      <c r="BN3" s="482"/>
      <c r="BO3" s="428"/>
      <c r="BP3" s="428"/>
      <c r="BQ3" s="428"/>
      <c r="BR3" s="428"/>
      <c r="BS3" s="428"/>
      <c r="BT3" s="428"/>
      <c r="BU3" s="429"/>
      <c r="BV3" s="429"/>
      <c r="BW3" s="344"/>
      <c r="BX3" s="344"/>
      <c r="BY3" s="344"/>
      <c r="BZ3" s="344"/>
      <c r="CA3" s="344"/>
      <c r="CB3" s="344"/>
      <c r="CC3" s="429"/>
      <c r="CD3" s="429"/>
      <c r="CE3" s="344"/>
      <c r="CF3" s="344"/>
      <c r="CG3" s="344"/>
      <c r="CH3" s="344"/>
      <c r="CI3" s="344"/>
      <c r="CJ3" s="344"/>
      <c r="CK3" s="344"/>
      <c r="CL3" s="344"/>
      <c r="CM3" s="344"/>
      <c r="CN3" s="344"/>
      <c r="CO3" s="344"/>
      <c r="CP3" s="344"/>
      <c r="CQ3" s="344"/>
      <c r="CR3" s="344"/>
      <c r="CS3" s="344"/>
      <c r="CT3" s="344"/>
      <c r="CU3" s="345"/>
      <c r="CV3" s="345"/>
    </row>
    <row r="4" spans="1:112" ht="3.75" customHeight="1" x14ac:dyDescent="0.25">
      <c r="C4" s="647"/>
      <c r="D4" s="647"/>
      <c r="E4" s="385"/>
      <c r="F4" s="385"/>
      <c r="G4" s="385"/>
      <c r="H4" s="329"/>
      <c r="I4" s="334"/>
      <c r="J4" s="334"/>
      <c r="K4" s="334"/>
      <c r="L4" s="334"/>
      <c r="M4" s="334"/>
      <c r="N4" s="334"/>
      <c r="O4" s="334"/>
      <c r="P4" s="410"/>
      <c r="Q4" s="334"/>
      <c r="R4" s="410"/>
      <c r="S4" s="334"/>
      <c r="T4" s="410"/>
      <c r="U4" s="334"/>
      <c r="V4" s="410"/>
      <c r="W4" s="334"/>
      <c r="X4" s="329"/>
      <c r="Y4" s="334"/>
      <c r="Z4" s="329"/>
      <c r="AA4" s="334"/>
      <c r="AB4" s="329"/>
      <c r="AC4" s="334"/>
      <c r="AD4" s="329"/>
      <c r="AE4" s="334"/>
      <c r="AF4" s="329"/>
      <c r="AG4" s="334"/>
      <c r="AH4" s="329"/>
      <c r="AI4" s="334"/>
      <c r="AJ4" s="410"/>
      <c r="AK4" s="334"/>
      <c r="AL4" s="329"/>
      <c r="AM4" s="334"/>
      <c r="AN4" s="483"/>
      <c r="AT4" s="329"/>
      <c r="AV4" s="329"/>
      <c r="AZ4" s="313"/>
    </row>
    <row r="5" spans="1:112" s="424" customFormat="1" ht="17.25" customHeight="1" x14ac:dyDescent="0.25">
      <c r="A5" s="423"/>
      <c r="B5" s="176">
        <v>9</v>
      </c>
      <c r="C5" s="732" t="s">
        <v>540</v>
      </c>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394"/>
      <c r="AP5" s="394"/>
      <c r="AQ5" s="394"/>
      <c r="AR5" s="394"/>
      <c r="AS5" s="394"/>
      <c r="AT5" s="349"/>
      <c r="AU5" s="348"/>
      <c r="AV5" s="349"/>
      <c r="AW5" s="348"/>
      <c r="AX5" s="430"/>
      <c r="AY5" s="348"/>
      <c r="AZ5" s="350" t="s">
        <v>445</v>
      </c>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26"/>
    </row>
    <row r="6" spans="1:112" s="424" customFormat="1" ht="14.25" customHeight="1" x14ac:dyDescent="0.25">
      <c r="A6" s="423"/>
      <c r="B6" s="176"/>
      <c r="D6" s="736" t="s">
        <v>537</v>
      </c>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541"/>
      <c r="AJ6" s="542"/>
      <c r="AK6" s="353"/>
      <c r="AL6" s="542"/>
      <c r="AM6" s="263"/>
      <c r="AN6" s="542"/>
      <c r="AO6" s="543"/>
      <c r="AP6" s="543"/>
      <c r="AQ6" s="543"/>
      <c r="AR6" s="543"/>
      <c r="AS6" s="543"/>
      <c r="AT6" s="650"/>
      <c r="AV6" s="355" t="s">
        <v>520</v>
      </c>
      <c r="AW6" s="356"/>
      <c r="AX6" s="210"/>
      <c r="AZ6" s="357" t="s">
        <v>628</v>
      </c>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26"/>
    </row>
    <row r="7" spans="1:112" ht="22.5" customHeight="1" x14ac:dyDescent="0.2">
      <c r="B7" s="176">
        <v>2</v>
      </c>
      <c r="C7" s="218" t="s">
        <v>299</v>
      </c>
      <c r="D7" s="218" t="s">
        <v>300</v>
      </c>
      <c r="E7" s="218" t="s">
        <v>301</v>
      </c>
      <c r="F7" s="218">
        <v>1990</v>
      </c>
      <c r="G7" s="219"/>
      <c r="H7" s="218">
        <v>1995</v>
      </c>
      <c r="I7" s="219"/>
      <c r="J7" s="218">
        <v>1996</v>
      </c>
      <c r="K7" s="219"/>
      <c r="L7" s="218">
        <v>1997</v>
      </c>
      <c r="M7" s="219"/>
      <c r="N7" s="218">
        <v>1998</v>
      </c>
      <c r="O7" s="219"/>
      <c r="P7" s="218">
        <v>1999</v>
      </c>
      <c r="Q7" s="219"/>
      <c r="R7" s="218">
        <v>2000</v>
      </c>
      <c r="S7" s="219"/>
      <c r="T7" s="218">
        <v>2001</v>
      </c>
      <c r="U7" s="219"/>
      <c r="V7" s="218">
        <v>2002</v>
      </c>
      <c r="W7" s="219"/>
      <c r="X7" s="218">
        <v>2003</v>
      </c>
      <c r="Y7" s="219"/>
      <c r="Z7" s="218">
        <v>2004</v>
      </c>
      <c r="AA7" s="219"/>
      <c r="AB7" s="218">
        <v>2005</v>
      </c>
      <c r="AC7" s="219"/>
      <c r="AD7" s="218">
        <v>2006</v>
      </c>
      <c r="AE7" s="219"/>
      <c r="AF7" s="218">
        <v>2007</v>
      </c>
      <c r="AG7" s="219"/>
      <c r="AH7" s="218">
        <v>2008</v>
      </c>
      <c r="AI7" s="219"/>
      <c r="AJ7" s="218">
        <v>2009</v>
      </c>
      <c r="AK7" s="219"/>
      <c r="AL7" s="218">
        <v>2010</v>
      </c>
      <c r="AM7" s="219"/>
      <c r="AN7" s="218">
        <v>2011</v>
      </c>
      <c r="AO7" s="219"/>
      <c r="AP7" s="218">
        <v>2012</v>
      </c>
      <c r="AQ7" s="219"/>
      <c r="AR7" s="218">
        <v>2013</v>
      </c>
      <c r="AS7" s="219"/>
      <c r="AT7" s="218">
        <v>2014</v>
      </c>
      <c r="AU7" s="219"/>
      <c r="AV7" s="218">
        <v>2015</v>
      </c>
      <c r="AW7" s="219"/>
      <c r="AZ7" s="218" t="s">
        <v>600</v>
      </c>
      <c r="BA7" s="218" t="s">
        <v>601</v>
      </c>
      <c r="BB7" s="218" t="s">
        <v>603</v>
      </c>
      <c r="BC7" s="218">
        <v>1990</v>
      </c>
      <c r="BD7" s="218"/>
      <c r="BE7" s="218">
        <v>1995</v>
      </c>
      <c r="BF7" s="218"/>
      <c r="BG7" s="218">
        <v>1996</v>
      </c>
      <c r="BH7" s="218"/>
      <c r="BI7" s="218">
        <v>1997</v>
      </c>
      <c r="BJ7" s="218"/>
      <c r="BK7" s="218">
        <v>1998</v>
      </c>
      <c r="BL7" s="218"/>
      <c r="BM7" s="218">
        <v>1999</v>
      </c>
      <c r="BN7" s="218"/>
      <c r="BO7" s="218">
        <v>2000</v>
      </c>
      <c r="BP7" s="218"/>
      <c r="BQ7" s="218">
        <v>2001</v>
      </c>
      <c r="BR7" s="218"/>
      <c r="BS7" s="218">
        <v>2002</v>
      </c>
      <c r="BT7" s="218"/>
      <c r="BU7" s="218">
        <v>2003</v>
      </c>
      <c r="BV7" s="218"/>
      <c r="BW7" s="218">
        <v>2004</v>
      </c>
      <c r="BX7" s="218"/>
      <c r="BY7" s="218">
        <v>2005</v>
      </c>
      <c r="BZ7" s="218"/>
      <c r="CA7" s="218">
        <v>2006</v>
      </c>
      <c r="CB7" s="218"/>
      <c r="CC7" s="218">
        <v>2007</v>
      </c>
      <c r="CD7" s="218"/>
      <c r="CE7" s="218">
        <v>2008</v>
      </c>
      <c r="CF7" s="218"/>
      <c r="CG7" s="218">
        <v>2009</v>
      </c>
      <c r="CH7" s="218"/>
      <c r="CI7" s="218">
        <v>2010</v>
      </c>
      <c r="CJ7" s="218"/>
      <c r="CK7" s="218">
        <v>2011</v>
      </c>
      <c r="CL7" s="218"/>
      <c r="CM7" s="218">
        <v>2012</v>
      </c>
      <c r="CN7" s="218"/>
      <c r="CO7" s="218">
        <v>2013</v>
      </c>
      <c r="CP7" s="218"/>
      <c r="CQ7" s="218">
        <v>2014</v>
      </c>
      <c r="CR7" s="218"/>
      <c r="CS7" s="218">
        <v>2015</v>
      </c>
      <c r="CT7" s="219"/>
    </row>
    <row r="8" spans="1:112" s="450" customFormat="1" ht="36" customHeight="1" x14ac:dyDescent="0.2">
      <c r="A8" s="423" t="s">
        <v>460</v>
      </c>
      <c r="B8" s="224">
        <v>163</v>
      </c>
      <c r="C8" s="438">
        <v>1</v>
      </c>
      <c r="D8" s="544" t="s">
        <v>288</v>
      </c>
      <c r="E8" s="227" t="s">
        <v>595</v>
      </c>
      <c r="F8" s="600"/>
      <c r="G8" s="596"/>
      <c r="H8" s="600"/>
      <c r="I8" s="596"/>
      <c r="J8" s="600"/>
      <c r="K8" s="596"/>
      <c r="L8" s="600"/>
      <c r="M8" s="596"/>
      <c r="N8" s="600"/>
      <c r="O8" s="596"/>
      <c r="P8" s="600"/>
      <c r="Q8" s="596"/>
      <c r="R8" s="600"/>
      <c r="S8" s="596"/>
      <c r="T8" s="600"/>
      <c r="U8" s="596"/>
      <c r="V8" s="600"/>
      <c r="W8" s="596"/>
      <c r="X8" s="600"/>
      <c r="Y8" s="596"/>
      <c r="Z8" s="600"/>
      <c r="AA8" s="596"/>
      <c r="AB8" s="600"/>
      <c r="AC8" s="596"/>
      <c r="AD8" s="600"/>
      <c r="AE8" s="596"/>
      <c r="AF8" s="600"/>
      <c r="AG8" s="596"/>
      <c r="AH8" s="600"/>
      <c r="AI8" s="596"/>
      <c r="AJ8" s="600"/>
      <c r="AK8" s="596"/>
      <c r="AL8" s="600"/>
      <c r="AM8" s="596"/>
      <c r="AN8" s="600"/>
      <c r="AO8" s="596"/>
      <c r="AP8" s="600">
        <v>72</v>
      </c>
      <c r="AQ8" s="596"/>
      <c r="AR8" s="600">
        <v>72</v>
      </c>
      <c r="AS8" s="596"/>
      <c r="AT8" s="600">
        <v>73</v>
      </c>
      <c r="AU8" s="596"/>
      <c r="AV8" s="600">
        <v>74</v>
      </c>
      <c r="AW8" s="596"/>
      <c r="AZ8" s="388">
        <v>1</v>
      </c>
      <c r="BA8" s="545" t="s">
        <v>410</v>
      </c>
      <c r="BB8" s="95" t="s">
        <v>595</v>
      </c>
      <c r="BC8" s="95" t="s">
        <v>471</v>
      </c>
      <c r="BD8" s="233"/>
      <c r="BE8" s="78" t="str">
        <f>IF(OR(ISBLANK(G8),ISBLANK(I8)),"N/A",IF(ABS(I8-G8)&gt;100,"&gt; 100%","ok"))</f>
        <v>N/A</v>
      </c>
      <c r="BF8" s="233"/>
      <c r="BG8" s="78" t="str">
        <f>IF(OR(ISBLANK(I8),ISBLANK(K8)),"N/A",IF(ABS(K8-I8)&gt;25,"&gt; 25%","ok"))</f>
        <v>N/A</v>
      </c>
      <c r="BH8" s="78"/>
      <c r="BI8" s="78" t="str">
        <f>IF(OR(ISBLANK(K8),ISBLANK(M8)),"N/A",IF(ABS(M8-K8)&gt;25,"&gt; 25%","ok"))</f>
        <v>N/A</v>
      </c>
      <c r="BJ8" s="78"/>
      <c r="BK8" s="78" t="str">
        <f>IF(OR(ISBLANK(M8),ISBLANK(O8)),"N/A",IF(ABS(O8-M8)&gt;25,"&gt; 25%","ok"))</f>
        <v>N/A</v>
      </c>
      <c r="BL8" s="78"/>
      <c r="BM8" s="78" t="str">
        <f>IF(OR(ISBLANK(O8),ISBLANK(Q8)),"N/A",IF(ABS(Q8-O8)&gt;25,"&gt; 25%","ok"))</f>
        <v>N/A</v>
      </c>
      <c r="BN8" s="78"/>
      <c r="BO8" s="78" t="str">
        <f>IF(OR(ISBLANK(Q8),ISBLANK(S8)),"N/A",IF(ABS(S8-Q8)&gt;25,"&gt; 25%","ok"))</f>
        <v>N/A</v>
      </c>
      <c r="BP8" s="78"/>
      <c r="BQ8" s="78" t="str">
        <f>IF(OR(ISBLANK(S8),ISBLANK(U8)),"N/A",IF(ABS(U8-S8)&gt;25,"&gt; 25%","ok"))</f>
        <v>N/A</v>
      </c>
      <c r="BR8" s="78"/>
      <c r="BS8" s="78" t="str">
        <f>IF(OR(ISBLANK(U8),ISBLANK(W8)),"N/A",IF(ABS(W8-U8)&gt;25,"&gt; 25%","ok"))</f>
        <v>N/A</v>
      </c>
      <c r="BT8" s="78"/>
      <c r="BU8" s="78" t="str">
        <f>IF(OR(ISBLANK(W8),ISBLANK(Y8)),"N/A",IF(ABS(Y8-W8)&gt;25,"&gt; 25%","ok"))</f>
        <v>N/A</v>
      </c>
      <c r="BV8" s="78"/>
      <c r="BW8" s="78" t="str">
        <f>IF(OR(ISBLANK(Y8),ISBLANK(AA8)),"N/A",IF(ABS(AA8-Y8)&gt;25,"&gt; 25%","ok"))</f>
        <v>N/A</v>
      </c>
      <c r="BX8" s="78"/>
      <c r="BY8" s="78" t="str">
        <f>IF(OR(ISBLANK(AA8),ISBLANK(AC8)),"N/A",IF(ABS(AC8-AA8)&gt;25,"&gt; 25%","ok"))</f>
        <v>N/A</v>
      </c>
      <c r="BZ8" s="78"/>
      <c r="CA8" s="78" t="str">
        <f>IF(OR(ISBLANK(AC8),ISBLANK(AE8)),"N/A",IF(ABS(AE8-AC8)&gt;25,"&gt; 25%","ok"))</f>
        <v>N/A</v>
      </c>
      <c r="CB8" s="78"/>
      <c r="CC8" s="78" t="str">
        <f>IF(OR(ISBLANK(AE8),ISBLANK(AG8)),"N/A",IF(ABS(AG8-AE8)&gt;25,"&gt; 25%","ok"))</f>
        <v>N/A</v>
      </c>
      <c r="CD8" s="78"/>
      <c r="CE8" s="78" t="str">
        <f>IF(OR(ISBLANK(AG8),ISBLANK(AI8)),"N/A",IF(ABS(AI8-AG8)&gt;25,"&gt; 25%","ok"))</f>
        <v>N/A</v>
      </c>
      <c r="CF8" s="78"/>
      <c r="CG8" s="78" t="str">
        <f>IF(OR(ISBLANK(AI8),ISBLANK(AK8)),"N/A",IF(ABS(AK8-AI8)&gt;25,"&gt; 25%","ok"))</f>
        <v>N/A</v>
      </c>
      <c r="CH8" s="78"/>
      <c r="CI8" s="78" t="str">
        <f>IF(OR(ISBLANK(AK8),ISBLANK(AM8)),"N/A",IF(ABS(AM8-AK8)&gt;25,"&gt; 25%","ok"))</f>
        <v>N/A</v>
      </c>
      <c r="CJ8" s="78"/>
      <c r="CK8" s="78" t="str">
        <f>IF(OR(ISBLANK(AM8),ISBLANK(AO8)),"N/A",IF(ABS(AO8-AM8)&gt;25,"&gt; 25%","ok"))</f>
        <v>N/A</v>
      </c>
      <c r="CL8" s="78"/>
      <c r="CM8" s="78" t="str">
        <f>IF(OR(ISBLANK(AO8),ISBLANK(AQ8)),"N/A",IF(ABS(AQ8-AO8)&gt;25,"&gt; 25%","ok"))</f>
        <v>N/A</v>
      </c>
      <c r="CN8" s="78"/>
      <c r="CO8" s="78" t="str">
        <f>IF(OR(ISBLANK(AQ8),ISBLANK(AS8)),"N/A",IF(ABS(AS8-AQ8)&gt;25,"&gt; 25%","ok"))</f>
        <v>N/A</v>
      </c>
      <c r="CP8" s="78"/>
      <c r="CQ8" s="78" t="str">
        <f>IF(OR(ISBLANK(AS8),ISBLANK(AU8)),"N/A",IF(ABS(AU8-AS8)&gt;25,"&gt; 25%","ok"))</f>
        <v>N/A</v>
      </c>
      <c r="CR8" s="78"/>
      <c r="CS8" s="78" t="str">
        <f>IF(OR(ISBLANK(AU8),ISBLANK(AW8)),"N/A",IF(ABS(AW8-AU8)&gt;25,"&gt; 25%","ok"))</f>
        <v>N/A</v>
      </c>
      <c r="CT8" s="233"/>
    </row>
    <row r="9" spans="1:112" ht="36" customHeight="1" x14ac:dyDescent="0.2">
      <c r="A9" s="175" t="s">
        <v>460</v>
      </c>
      <c r="B9" s="224">
        <v>164</v>
      </c>
      <c r="C9" s="375">
        <v>2</v>
      </c>
      <c r="D9" s="546" t="s">
        <v>229</v>
      </c>
      <c r="E9" s="227" t="s">
        <v>595</v>
      </c>
      <c r="F9" s="600"/>
      <c r="G9" s="596"/>
      <c r="H9" s="600"/>
      <c r="I9" s="596"/>
      <c r="J9" s="600"/>
      <c r="K9" s="596"/>
      <c r="L9" s="600"/>
      <c r="M9" s="596"/>
      <c r="N9" s="600"/>
      <c r="O9" s="596"/>
      <c r="P9" s="600"/>
      <c r="Q9" s="596"/>
      <c r="R9" s="600"/>
      <c r="S9" s="596"/>
      <c r="T9" s="600"/>
      <c r="U9" s="596"/>
      <c r="V9" s="600"/>
      <c r="W9" s="596"/>
      <c r="X9" s="600"/>
      <c r="Y9" s="596"/>
      <c r="Z9" s="600"/>
      <c r="AA9" s="596"/>
      <c r="AB9" s="600"/>
      <c r="AC9" s="596"/>
      <c r="AD9" s="600"/>
      <c r="AE9" s="596"/>
      <c r="AF9" s="600"/>
      <c r="AG9" s="596"/>
      <c r="AH9" s="600"/>
      <c r="AI9" s="596"/>
      <c r="AJ9" s="600"/>
      <c r="AK9" s="596"/>
      <c r="AL9" s="600"/>
      <c r="AM9" s="596"/>
      <c r="AN9" s="600"/>
      <c r="AO9" s="596"/>
      <c r="AP9" s="651"/>
      <c r="AQ9" s="652"/>
      <c r="AR9" s="651"/>
      <c r="AS9" s="652"/>
      <c r="AT9" s="651"/>
      <c r="AU9" s="652"/>
      <c r="AV9" s="651"/>
      <c r="AW9" s="596"/>
      <c r="AZ9" s="366">
        <v>2</v>
      </c>
      <c r="BA9" s="547" t="s">
        <v>411</v>
      </c>
      <c r="BB9" s="95" t="s">
        <v>595</v>
      </c>
      <c r="BC9" s="95" t="s">
        <v>471</v>
      </c>
      <c r="BD9" s="233"/>
      <c r="BE9" s="78" t="str">
        <f>IF(OR(ISBLANK(G9),ISBLANK(I9)),"N/A",IF(ABS(I9-G9)&gt;100,"&gt; 100%","ok"))</f>
        <v>N/A</v>
      </c>
      <c r="BF9" s="233"/>
      <c r="BG9" s="78" t="str">
        <f>IF(OR(ISBLANK(I9),ISBLANK(K9)),"N/A",IF(ABS(K9-I9)&gt;25,"&gt; 25%","ok"))</f>
        <v>N/A</v>
      </c>
      <c r="BH9" s="78"/>
      <c r="BI9" s="78" t="str">
        <f>IF(OR(ISBLANK(K9),ISBLANK(M9)),"N/A",IF(ABS(M9-K9)&gt;25,"&gt; 25%","ok"))</f>
        <v>N/A</v>
      </c>
      <c r="BJ9" s="78"/>
      <c r="BK9" s="78" t="str">
        <f>IF(OR(ISBLANK(M9),ISBLANK(O9)),"N/A",IF(ABS(O9-M9)&gt;25,"&gt; 25%","ok"))</f>
        <v>N/A</v>
      </c>
      <c r="BL9" s="78"/>
      <c r="BM9" s="78" t="str">
        <f>IF(OR(ISBLANK(O9),ISBLANK(Q9)),"N/A",IF(ABS(Q9-O9)&gt;25,"&gt; 25%","ok"))</f>
        <v>N/A</v>
      </c>
      <c r="BN9" s="78"/>
      <c r="BO9" s="78" t="str">
        <f>IF(OR(ISBLANK(Q9),ISBLANK(S9)),"N/A",IF(ABS(S9-Q9)&gt;25,"&gt; 25%","ok"))</f>
        <v>N/A</v>
      </c>
      <c r="BP9" s="78"/>
      <c r="BQ9" s="78" t="str">
        <f>IF(OR(ISBLANK(S9),ISBLANK(U9)),"N/A",IF(ABS(U9-S9)&gt;25,"&gt; 25%","ok"))</f>
        <v>N/A</v>
      </c>
      <c r="BR9" s="78"/>
      <c r="BS9" s="78" t="str">
        <f>IF(OR(ISBLANK(U9),ISBLANK(W9)),"N/A",IF(ABS(W9-U9)&gt;25,"&gt; 25%","ok"))</f>
        <v>N/A</v>
      </c>
      <c r="BT9" s="78"/>
      <c r="BU9" s="78" t="str">
        <f>IF(OR(ISBLANK(W9),ISBLANK(Y9)),"N/A",IF(ABS(Y9-W9)&gt;25,"&gt; 25%","ok"))</f>
        <v>N/A</v>
      </c>
      <c r="BV9" s="78"/>
      <c r="BW9" s="78" t="str">
        <f>IF(OR(ISBLANK(Y9),ISBLANK(AA9)),"N/A",IF(ABS(AA9-Y9)&gt;25,"&gt; 25%","ok"))</f>
        <v>N/A</v>
      </c>
      <c r="BX9" s="78"/>
      <c r="BY9" s="78" t="str">
        <f>IF(OR(ISBLANK(AA9),ISBLANK(AC9)),"N/A",IF(ABS(AC9-AA9)&gt;25,"&gt; 25%","ok"))</f>
        <v>N/A</v>
      </c>
      <c r="BZ9" s="78"/>
      <c r="CA9" s="78" t="str">
        <f>IF(OR(ISBLANK(AC9),ISBLANK(AE9)),"N/A",IF(ABS(AE9-AC9)&gt;25,"&gt; 25%","ok"))</f>
        <v>N/A</v>
      </c>
      <c r="CB9" s="78"/>
      <c r="CC9" s="78" t="str">
        <f>IF(OR(ISBLANK(AE9),ISBLANK(AG9)),"N/A",IF(ABS(AG9-AE9)&gt;25,"&gt; 25%","ok"))</f>
        <v>N/A</v>
      </c>
      <c r="CD9" s="78"/>
      <c r="CE9" s="78" t="str">
        <f>IF(OR(ISBLANK(AG9),ISBLANK(AI9)),"N/A",IF(ABS(AI9-AG9)&gt;25,"&gt; 25%","ok"))</f>
        <v>N/A</v>
      </c>
      <c r="CF9" s="78"/>
      <c r="CG9" s="78" t="str">
        <f>IF(OR(ISBLANK(AI9),ISBLANK(AK9)),"N/A",IF(ABS(AK9-AI9)&gt;25,"&gt; 25%","ok"))</f>
        <v>N/A</v>
      </c>
      <c r="CH9" s="78"/>
      <c r="CI9" s="78" t="str">
        <f>IF(OR(ISBLANK(AK9),ISBLANK(AM9)),"N/A",IF(ABS(AM9-AK9)&gt;25,"&gt; 25%","ok"))</f>
        <v>N/A</v>
      </c>
      <c r="CJ9" s="78"/>
      <c r="CK9" s="78" t="str">
        <f>IF(OR(ISBLANK(AM9),ISBLANK(AO9)),"N/A",IF(ABS(AO9-AM9)&gt;25,"&gt; 25%","ok"))</f>
        <v>N/A</v>
      </c>
      <c r="CL9" s="78"/>
      <c r="CM9" s="78" t="str">
        <f>IF(OR(ISBLANK(AO9),ISBLANK(AQ9)),"N/A",IF(ABS(AQ9-AO9)&gt;25,"&gt; 25%","ok"))</f>
        <v>N/A</v>
      </c>
      <c r="CN9" s="78"/>
      <c r="CO9" s="78" t="str">
        <f>IF(OR(ISBLANK(AQ9),ISBLANK(AS9)),"N/A",IF(ABS(AS9-AQ9)&gt;25,"&gt; 25%","ok"))</f>
        <v>N/A</v>
      </c>
      <c r="CP9" s="78"/>
      <c r="CQ9" s="78" t="str">
        <f>IF(OR(ISBLANK(AS9),ISBLANK(AU9)),"N/A",IF(ABS(AU9-AS9)&gt;25,"&gt; 25%","ok"))</f>
        <v>N/A</v>
      </c>
      <c r="CR9" s="78"/>
      <c r="CS9" s="78" t="str">
        <f>IF(OR(ISBLANK(AU9),ISBLANK(AW9)),"N/A",IF(ABS(AW9-AU9)&gt;25,"&gt; 25%","ok"))</f>
        <v>N/A</v>
      </c>
      <c r="CT9" s="233"/>
    </row>
    <row r="10" spans="1:112" ht="36" customHeight="1" x14ac:dyDescent="0.2">
      <c r="B10" s="224">
        <v>296</v>
      </c>
      <c r="C10" s="227">
        <v>3</v>
      </c>
      <c r="D10" s="548" t="s">
        <v>321</v>
      </c>
      <c r="E10" s="227" t="s">
        <v>595</v>
      </c>
      <c r="F10" s="601"/>
      <c r="G10" s="593"/>
      <c r="H10" s="601"/>
      <c r="I10" s="593"/>
      <c r="J10" s="601"/>
      <c r="K10" s="593"/>
      <c r="L10" s="601"/>
      <c r="M10" s="593"/>
      <c r="N10" s="601"/>
      <c r="O10" s="593"/>
      <c r="P10" s="601"/>
      <c r="Q10" s="593"/>
      <c r="R10" s="601"/>
      <c r="S10" s="593"/>
      <c r="T10" s="601"/>
      <c r="U10" s="593"/>
      <c r="V10" s="601"/>
      <c r="W10" s="593"/>
      <c r="X10" s="601"/>
      <c r="Y10" s="593"/>
      <c r="Z10" s="601"/>
      <c r="AA10" s="593"/>
      <c r="AB10" s="601"/>
      <c r="AC10" s="593"/>
      <c r="AD10" s="601"/>
      <c r="AE10" s="593"/>
      <c r="AF10" s="601"/>
      <c r="AG10" s="593"/>
      <c r="AH10" s="601"/>
      <c r="AI10" s="593"/>
      <c r="AJ10" s="601"/>
      <c r="AK10" s="593"/>
      <c r="AL10" s="601"/>
      <c r="AM10" s="593"/>
      <c r="AN10" s="601"/>
      <c r="AO10" s="593"/>
      <c r="AP10" s="601"/>
      <c r="AQ10" s="593"/>
      <c r="AR10" s="601"/>
      <c r="AS10" s="593"/>
      <c r="AT10" s="601"/>
      <c r="AU10" s="593"/>
      <c r="AV10" s="601"/>
      <c r="AW10" s="593"/>
      <c r="AZ10" s="95">
        <v>3</v>
      </c>
      <c r="BA10" s="549" t="s">
        <v>633</v>
      </c>
      <c r="BB10" s="95" t="s">
        <v>595</v>
      </c>
      <c r="BC10" s="80" t="s">
        <v>471</v>
      </c>
      <c r="BD10" s="238"/>
      <c r="BE10" s="78" t="str">
        <f>IF(OR(ISBLANK(G10),ISBLANK(I10)),"N/A",IF(ABS(I10-G10)&gt;100,"&gt; 100%","ok"))</f>
        <v>N/A</v>
      </c>
      <c r="BF10" s="238"/>
      <c r="BG10" s="78" t="str">
        <f>IF(OR(ISBLANK(I10),ISBLANK(K10)),"N/A",IF(ABS(K10-I10)&gt;25,"&gt; 25%","ok"))</f>
        <v>N/A</v>
      </c>
      <c r="BH10" s="78"/>
      <c r="BI10" s="78" t="str">
        <f>IF(OR(ISBLANK(K10),ISBLANK(M10)),"N/A",IF(ABS(M10-K10)&gt;25,"&gt; 25%","ok"))</f>
        <v>N/A</v>
      </c>
      <c r="BJ10" s="78"/>
      <c r="BK10" s="78" t="str">
        <f>IF(OR(ISBLANK(M10),ISBLANK(O10)),"N/A",IF(ABS(O10-M10)&gt;25,"&gt; 25%","ok"))</f>
        <v>N/A</v>
      </c>
      <c r="BL10" s="78"/>
      <c r="BM10" s="78" t="str">
        <f>IF(OR(ISBLANK(O10),ISBLANK(Q10)),"N/A",IF(ABS(Q10-O10)&gt;25,"&gt; 25%","ok"))</f>
        <v>N/A</v>
      </c>
      <c r="BN10" s="78"/>
      <c r="BO10" s="78" t="str">
        <f>IF(OR(ISBLANK(Q10),ISBLANK(S10)),"N/A",IF(ABS(S10-Q10)&gt;25,"&gt; 25%","ok"))</f>
        <v>N/A</v>
      </c>
      <c r="BP10" s="78"/>
      <c r="BQ10" s="78" t="str">
        <f>IF(OR(ISBLANK(S10),ISBLANK(U10)),"N/A",IF(ABS(U10-S10)&gt;25,"&gt; 25%","ok"))</f>
        <v>N/A</v>
      </c>
      <c r="BR10" s="78"/>
      <c r="BS10" s="78" t="str">
        <f>IF(OR(ISBLANK(U10),ISBLANK(W10)),"N/A",IF(ABS(W10-U10)&gt;25,"&gt; 25%","ok"))</f>
        <v>N/A</v>
      </c>
      <c r="BT10" s="78"/>
      <c r="BU10" s="78" t="str">
        <f>IF(OR(ISBLANK(W10),ISBLANK(Y10)),"N/A",IF(ABS(Y10-W10)&gt;25,"&gt; 25%","ok"))</f>
        <v>N/A</v>
      </c>
      <c r="BV10" s="78"/>
      <c r="BW10" s="78" t="str">
        <f>IF(OR(ISBLANK(Y10),ISBLANK(AA10)),"N/A",IF(ABS(AA10-Y10)&gt;25,"&gt; 25%","ok"))</f>
        <v>N/A</v>
      </c>
      <c r="BX10" s="78"/>
      <c r="BY10" s="78" t="str">
        <f>IF(OR(ISBLANK(AA10),ISBLANK(AC10)),"N/A",IF(ABS(AC10-AA10)&gt;25,"&gt; 25%","ok"))</f>
        <v>N/A</v>
      </c>
      <c r="BZ10" s="78"/>
      <c r="CA10" s="78" t="str">
        <f>IF(OR(ISBLANK(AC10),ISBLANK(AE10)),"N/A",IF(ABS(AE10-AC10)&gt;25,"&gt; 25%","ok"))</f>
        <v>N/A</v>
      </c>
      <c r="CB10" s="78"/>
      <c r="CC10" s="78" t="str">
        <f>IF(OR(ISBLANK(AE10),ISBLANK(AG10)),"N/A",IF(ABS(AG10-AE10)&gt;25,"&gt; 25%","ok"))</f>
        <v>N/A</v>
      </c>
      <c r="CD10" s="78"/>
      <c r="CE10" s="78" t="str">
        <f>IF(OR(ISBLANK(AG10),ISBLANK(AI10)),"N/A",IF(ABS(AI10-AG10)&gt;25,"&gt; 25%","ok"))</f>
        <v>N/A</v>
      </c>
      <c r="CF10" s="78"/>
      <c r="CG10" s="78" t="str">
        <f>IF(OR(ISBLANK(AI10),ISBLANK(AK10)),"N/A",IF(ABS(AK10-AI10)&gt;25,"&gt; 25%","ok"))</f>
        <v>N/A</v>
      </c>
      <c r="CH10" s="78"/>
      <c r="CI10" s="78" t="str">
        <f>IF(OR(ISBLANK(AK10),ISBLANK(AM10)),"N/A",IF(ABS(AM10-AK10)&gt;25,"&gt; 25%","ok"))</f>
        <v>N/A</v>
      </c>
      <c r="CJ10" s="78"/>
      <c r="CK10" s="78" t="str">
        <f>IF(OR(ISBLANK(AM10),ISBLANK(AO10)),"N/A",IF(ABS(AO10-AM10)&gt;25,"&gt; 25%","ok"))</f>
        <v>N/A</v>
      </c>
      <c r="CL10" s="78"/>
      <c r="CM10" s="78" t="str">
        <f>IF(OR(ISBLANK(AO10),ISBLANK(AQ10)),"N/A",IF(ABS(AQ10-AO10)&gt;25,"&gt; 25%","ok"))</f>
        <v>N/A</v>
      </c>
      <c r="CN10" s="78"/>
      <c r="CO10" s="78" t="str">
        <f>IF(OR(ISBLANK(AQ10),ISBLANK(AS10)),"N/A",IF(ABS(AS10-AQ10)&gt;25,"&gt; 25%","ok"))</f>
        <v>N/A</v>
      </c>
      <c r="CP10" s="78"/>
      <c r="CQ10" s="78" t="str">
        <f>IF(OR(ISBLANK(AS10),ISBLANK(AU10)),"N/A",IF(ABS(AU10-AS10)&gt;25,"&gt; 25%","ok"))</f>
        <v>N/A</v>
      </c>
      <c r="CR10" s="78"/>
      <c r="CS10" s="78" t="str">
        <f>IF(OR(ISBLANK(AU10),ISBLANK(AW10)),"N/A",IF(ABS(AW10-AU10)&gt;25,"&gt; 25%","ok"))</f>
        <v>N/A</v>
      </c>
      <c r="CT10" s="238"/>
    </row>
    <row r="11" spans="1:112" ht="45" customHeight="1" x14ac:dyDescent="0.2">
      <c r="B11" s="224">
        <v>165</v>
      </c>
      <c r="C11" s="242">
        <v>4</v>
      </c>
      <c r="D11" s="251" t="s">
        <v>289</v>
      </c>
      <c r="E11" s="227" t="s">
        <v>595</v>
      </c>
      <c r="F11" s="601"/>
      <c r="G11" s="593"/>
      <c r="H11" s="601"/>
      <c r="I11" s="593"/>
      <c r="J11" s="601"/>
      <c r="K11" s="593"/>
      <c r="L11" s="601"/>
      <c r="M11" s="593"/>
      <c r="N11" s="601"/>
      <c r="O11" s="593"/>
      <c r="P11" s="601"/>
      <c r="Q11" s="593"/>
      <c r="R11" s="601"/>
      <c r="S11" s="593"/>
      <c r="T11" s="601"/>
      <c r="U11" s="593"/>
      <c r="V11" s="601"/>
      <c r="W11" s="593"/>
      <c r="X11" s="601"/>
      <c r="Y11" s="593"/>
      <c r="Z11" s="601"/>
      <c r="AA11" s="593"/>
      <c r="AB11" s="601"/>
      <c r="AC11" s="593"/>
      <c r="AD11" s="601"/>
      <c r="AE11" s="593"/>
      <c r="AF11" s="601"/>
      <c r="AG11" s="593"/>
      <c r="AH11" s="601"/>
      <c r="AI11" s="593"/>
      <c r="AJ11" s="601"/>
      <c r="AK11" s="593"/>
      <c r="AL11" s="601"/>
      <c r="AM11" s="593"/>
      <c r="AN11" s="601"/>
      <c r="AO11" s="593"/>
      <c r="AP11" s="601"/>
      <c r="AQ11" s="593"/>
      <c r="AR11" s="601"/>
      <c r="AS11" s="593"/>
      <c r="AT11" s="601"/>
      <c r="AU11" s="593"/>
      <c r="AV11" s="601"/>
      <c r="AW11" s="593"/>
      <c r="AZ11" s="80">
        <v>4</v>
      </c>
      <c r="BA11" s="252" t="s">
        <v>408</v>
      </c>
      <c r="BB11" s="95" t="s">
        <v>595</v>
      </c>
      <c r="BC11" s="80" t="s">
        <v>471</v>
      </c>
      <c r="BD11" s="238"/>
      <c r="BE11" s="78" t="str">
        <f>IF(OR(ISBLANK(G11),ISBLANK(I11)),"N/A",IF(ABS(I11-G11)&gt;100,"&gt; 100%","ok"))</f>
        <v>N/A</v>
      </c>
      <c r="BF11" s="238"/>
      <c r="BG11" s="78" t="str">
        <f>IF(OR(ISBLANK(I11),ISBLANK(K11)),"N/A",IF(ABS(K11-I11)&gt;25,"&gt; 25%","ok"))</f>
        <v>N/A</v>
      </c>
      <c r="BH11" s="78"/>
      <c r="BI11" s="78" t="str">
        <f>IF(OR(ISBLANK(K11),ISBLANK(M11)),"N/A",IF(ABS(M11-K11)&gt;25,"&gt; 25%","ok"))</f>
        <v>N/A</v>
      </c>
      <c r="BJ11" s="78"/>
      <c r="BK11" s="78" t="str">
        <f>IF(OR(ISBLANK(M11),ISBLANK(O11)),"N/A",IF(ABS(O11-M11)&gt;25,"&gt; 25%","ok"))</f>
        <v>N/A</v>
      </c>
      <c r="BL11" s="78"/>
      <c r="BM11" s="78" t="str">
        <f>IF(OR(ISBLANK(O11),ISBLANK(Q11)),"N/A",IF(ABS(Q11-O11)&gt;25,"&gt; 25%","ok"))</f>
        <v>N/A</v>
      </c>
      <c r="BN11" s="78"/>
      <c r="BO11" s="78" t="str">
        <f>IF(OR(ISBLANK(Q11),ISBLANK(S11)),"N/A",IF(ABS(S11-Q11)&gt;25,"&gt; 25%","ok"))</f>
        <v>N/A</v>
      </c>
      <c r="BP11" s="78"/>
      <c r="BQ11" s="78" t="str">
        <f>IF(OR(ISBLANK(S11),ISBLANK(U11)),"N/A",IF(ABS(U11-S11)&gt;25,"&gt; 25%","ok"))</f>
        <v>N/A</v>
      </c>
      <c r="BR11" s="78"/>
      <c r="BS11" s="78" t="str">
        <f>IF(OR(ISBLANK(U11),ISBLANK(W11)),"N/A",IF(ABS(W11-U11)&gt;25,"&gt; 25%","ok"))</f>
        <v>N/A</v>
      </c>
      <c r="BT11" s="78"/>
      <c r="BU11" s="78" t="str">
        <f>IF(OR(ISBLANK(W11),ISBLANK(Y11)),"N/A",IF(ABS(Y11-W11)&gt;25,"&gt; 25%","ok"))</f>
        <v>N/A</v>
      </c>
      <c r="BV11" s="78"/>
      <c r="BW11" s="78" t="str">
        <f>IF(OR(ISBLANK(Y11),ISBLANK(AA11)),"N/A",IF(ABS(AA11-Y11)&gt;25,"&gt; 25%","ok"))</f>
        <v>N/A</v>
      </c>
      <c r="BX11" s="78"/>
      <c r="BY11" s="78" t="str">
        <f>IF(OR(ISBLANK(AA11),ISBLANK(AC11)),"N/A",IF(ABS(AC11-AA11)&gt;25,"&gt; 25%","ok"))</f>
        <v>N/A</v>
      </c>
      <c r="BZ11" s="78"/>
      <c r="CA11" s="78" t="str">
        <f>IF(OR(ISBLANK(AC11),ISBLANK(AE11)),"N/A",IF(ABS(AE11-AC11)&gt;25,"&gt; 25%","ok"))</f>
        <v>N/A</v>
      </c>
      <c r="CB11" s="78"/>
      <c r="CC11" s="78" t="str">
        <f>IF(OR(ISBLANK(AE11),ISBLANK(AG11)),"N/A",IF(ABS(AG11-AE11)&gt;25,"&gt; 25%","ok"))</f>
        <v>N/A</v>
      </c>
      <c r="CD11" s="78"/>
      <c r="CE11" s="78" t="str">
        <f>IF(OR(ISBLANK(AG11),ISBLANK(AI11)),"N/A",IF(ABS(AI11-AG11)&gt;25,"&gt; 25%","ok"))</f>
        <v>N/A</v>
      </c>
      <c r="CF11" s="78"/>
      <c r="CG11" s="78" t="str">
        <f>IF(OR(ISBLANK(AI11),ISBLANK(AK11)),"N/A",IF(ABS(AK11-AI11)&gt;25,"&gt; 25%","ok"))</f>
        <v>N/A</v>
      </c>
      <c r="CH11" s="78"/>
      <c r="CI11" s="78" t="str">
        <f>IF(OR(ISBLANK(AK11),ISBLANK(AM11)),"N/A",IF(ABS(AM11-AK11)&gt;25,"&gt; 25%","ok"))</f>
        <v>N/A</v>
      </c>
      <c r="CJ11" s="78"/>
      <c r="CK11" s="78" t="str">
        <f>IF(OR(ISBLANK(AM11),ISBLANK(AO11)),"N/A",IF(ABS(AO11-AM11)&gt;25,"&gt; 25%","ok"))</f>
        <v>N/A</v>
      </c>
      <c r="CL11" s="78"/>
      <c r="CM11" s="78" t="str">
        <f>IF(OR(ISBLANK(AO11),ISBLANK(AQ11)),"N/A",IF(ABS(AQ11-AO11)&gt;25,"&gt; 25%","ok"))</f>
        <v>N/A</v>
      </c>
      <c r="CN11" s="78"/>
      <c r="CO11" s="78" t="str">
        <f>IF(OR(ISBLANK(AQ11),ISBLANK(AS11)),"N/A",IF(ABS(AS11-AQ11)&gt;25,"&gt; 25%","ok"))</f>
        <v>N/A</v>
      </c>
      <c r="CP11" s="78"/>
      <c r="CQ11" s="78" t="str">
        <f>IF(OR(ISBLANK(AS11),ISBLANK(AU11)),"N/A",IF(ABS(AU11-AS11)&gt;25,"&gt; 25%","ok"))</f>
        <v>N/A</v>
      </c>
      <c r="CR11" s="78"/>
      <c r="CS11" s="78" t="str">
        <f>IF(OR(ISBLANK(AU11),ISBLANK(AW11)),"N/A",IF(ABS(AW11-AU11)&gt;25,"&gt; 25%","ok"))</f>
        <v>N/A</v>
      </c>
      <c r="CT11" s="238"/>
    </row>
    <row r="12" spans="1:112" ht="45" customHeight="1" x14ac:dyDescent="0.2">
      <c r="B12" s="224">
        <v>298</v>
      </c>
      <c r="C12" s="383">
        <v>5</v>
      </c>
      <c r="D12" s="255" t="s">
        <v>334</v>
      </c>
      <c r="E12" s="383" t="s">
        <v>595</v>
      </c>
      <c r="F12" s="602"/>
      <c r="G12" s="599"/>
      <c r="H12" s="602"/>
      <c r="I12" s="599"/>
      <c r="J12" s="602"/>
      <c r="K12" s="599"/>
      <c r="L12" s="602"/>
      <c r="M12" s="599"/>
      <c r="N12" s="602"/>
      <c r="O12" s="599"/>
      <c r="P12" s="602"/>
      <c r="Q12" s="599"/>
      <c r="R12" s="602"/>
      <c r="S12" s="599"/>
      <c r="T12" s="602"/>
      <c r="U12" s="599"/>
      <c r="V12" s="602"/>
      <c r="W12" s="599"/>
      <c r="X12" s="602"/>
      <c r="Y12" s="599"/>
      <c r="Z12" s="602"/>
      <c r="AA12" s="599"/>
      <c r="AB12" s="602"/>
      <c r="AC12" s="599"/>
      <c r="AD12" s="602"/>
      <c r="AE12" s="599"/>
      <c r="AF12" s="602"/>
      <c r="AG12" s="599"/>
      <c r="AH12" s="602"/>
      <c r="AI12" s="599"/>
      <c r="AJ12" s="602"/>
      <c r="AK12" s="599"/>
      <c r="AL12" s="602"/>
      <c r="AM12" s="599"/>
      <c r="AN12" s="602"/>
      <c r="AO12" s="599"/>
      <c r="AP12" s="602"/>
      <c r="AQ12" s="599"/>
      <c r="AR12" s="602"/>
      <c r="AS12" s="599"/>
      <c r="AT12" s="602"/>
      <c r="AU12" s="599"/>
      <c r="AV12" s="602"/>
      <c r="AW12" s="599"/>
      <c r="AZ12" s="93">
        <v>5</v>
      </c>
      <c r="BA12" s="451" t="s">
        <v>459</v>
      </c>
      <c r="BB12" s="93" t="s">
        <v>595</v>
      </c>
      <c r="BC12" s="93" t="s">
        <v>471</v>
      </c>
      <c r="BD12" s="260"/>
      <c r="BE12" s="78" t="str">
        <f>IF(OR(ISBLANK(G12),ISBLANK(I12)),"N/A",IF(ABS(I12-G12)&gt;100,"&gt; 100%","ok"))</f>
        <v>N/A</v>
      </c>
      <c r="BF12" s="260"/>
      <c r="BG12" s="79" t="str">
        <f>IF(OR(ISBLANK(I12),ISBLANK(K12)),"N/A",IF(ABS(K12-I12)&gt;25,"&gt; 25%","ok"))</f>
        <v>N/A</v>
      </c>
      <c r="BH12" s="79"/>
      <c r="BI12" s="79" t="str">
        <f>IF(OR(ISBLANK(K12),ISBLANK(M12)),"N/A",IF(ABS(M12-K12)&gt;25,"&gt; 25%","ok"))</f>
        <v>N/A</v>
      </c>
      <c r="BJ12" s="79"/>
      <c r="BK12" s="79" t="str">
        <f>IF(OR(ISBLANK(M12),ISBLANK(O12)),"N/A",IF(ABS(O12-M12)&gt;25,"&gt; 25%","ok"))</f>
        <v>N/A</v>
      </c>
      <c r="BL12" s="79"/>
      <c r="BM12" s="79" t="str">
        <f>IF(OR(ISBLANK(O12),ISBLANK(Q12)),"N/A",IF(ABS(Q12-O12)&gt;25,"&gt; 25%","ok"))</f>
        <v>N/A</v>
      </c>
      <c r="BN12" s="79"/>
      <c r="BO12" s="79" t="str">
        <f>IF(OR(ISBLANK(Q12),ISBLANK(S12)),"N/A",IF(ABS(S12-Q12)&gt;25,"&gt; 25%","ok"))</f>
        <v>N/A</v>
      </c>
      <c r="BP12" s="79"/>
      <c r="BQ12" s="79" t="str">
        <f>IF(OR(ISBLANK(S12),ISBLANK(U12)),"N/A",IF(ABS(U12-S12)&gt;25,"&gt; 25%","ok"))</f>
        <v>N/A</v>
      </c>
      <c r="BR12" s="79"/>
      <c r="BS12" s="79" t="str">
        <f>IF(OR(ISBLANK(U12),ISBLANK(W12)),"N/A",IF(ABS(W12-U12)&gt;25,"&gt; 25%","ok"))</f>
        <v>N/A</v>
      </c>
      <c r="BT12" s="79"/>
      <c r="BU12" s="79" t="str">
        <f>IF(OR(ISBLANK(W12),ISBLANK(Y12)),"N/A",IF(ABS(Y12-W12)&gt;25,"&gt; 25%","ok"))</f>
        <v>N/A</v>
      </c>
      <c r="BV12" s="79"/>
      <c r="BW12" s="79" t="str">
        <f>IF(OR(ISBLANK(Y12),ISBLANK(AA12)),"N/A",IF(ABS(AA12-Y12)&gt;25,"&gt; 25%","ok"))</f>
        <v>N/A</v>
      </c>
      <c r="BX12" s="79"/>
      <c r="BY12" s="79" t="str">
        <f>IF(OR(ISBLANK(AA12),ISBLANK(AC12)),"N/A",IF(ABS(AC12-AA12)&gt;25,"&gt; 25%","ok"))</f>
        <v>N/A</v>
      </c>
      <c r="BZ12" s="79"/>
      <c r="CA12" s="79" t="str">
        <f>IF(OR(ISBLANK(AC12),ISBLANK(AE12)),"N/A",IF(ABS(AE12-AC12)&gt;25,"&gt; 25%","ok"))</f>
        <v>N/A</v>
      </c>
      <c r="CB12" s="79"/>
      <c r="CC12" s="79" t="str">
        <f>IF(OR(ISBLANK(AE12),ISBLANK(AG12)),"N/A",IF(ABS(AG12-AE12)&gt;25,"&gt; 25%","ok"))</f>
        <v>N/A</v>
      </c>
      <c r="CD12" s="79"/>
      <c r="CE12" s="79" t="str">
        <f>IF(OR(ISBLANK(AG12),ISBLANK(AI12)),"N/A",IF(ABS(AI12-AG12)&gt;25,"&gt; 25%","ok"))</f>
        <v>N/A</v>
      </c>
      <c r="CF12" s="79"/>
      <c r="CG12" s="79" t="str">
        <f>IF(OR(ISBLANK(AI12),ISBLANK(AK12)),"N/A",IF(ABS(AK12-AI12)&gt;25,"&gt; 25%","ok"))</f>
        <v>N/A</v>
      </c>
      <c r="CH12" s="79"/>
      <c r="CI12" s="79" t="str">
        <f>IF(OR(ISBLANK(AK12),ISBLANK(AM12)),"N/A",IF(ABS(AM12-AK12)&gt;25,"&gt; 25%","ok"))</f>
        <v>N/A</v>
      </c>
      <c r="CJ12" s="79"/>
      <c r="CK12" s="79" t="str">
        <f>IF(OR(ISBLANK(AM12),ISBLANK(AO12)),"N/A",IF(ABS(AO12-AM12)&gt;25,"&gt; 25%","ok"))</f>
        <v>N/A</v>
      </c>
      <c r="CL12" s="79"/>
      <c r="CM12" s="79" t="str">
        <f>IF(OR(ISBLANK(AO12),ISBLANK(AQ12)),"N/A",IF(ABS(AQ12-AO12)&gt;25,"&gt; 25%","ok"))</f>
        <v>N/A</v>
      </c>
      <c r="CN12" s="79"/>
      <c r="CO12" s="79" t="str">
        <f>IF(OR(ISBLANK(AQ12),ISBLANK(AS12)),"N/A",IF(ABS(AS12-AQ12)&gt;25,"&gt; 25%","ok"))</f>
        <v>N/A</v>
      </c>
      <c r="CP12" s="79"/>
      <c r="CQ12" s="79" t="str">
        <f>IF(OR(ISBLANK(AS12),ISBLANK(AU12)),"N/A",IF(ABS(AU12-AS12)&gt;25,"&gt; 25%","ok"))</f>
        <v>N/A</v>
      </c>
      <c r="CR12" s="79"/>
      <c r="CS12" s="79" t="str">
        <f>IF(OR(ISBLANK(AU12),ISBLANK(AW12)),"N/A",IF(ABS(AW12-AU12)&gt;25,"&gt; 25%","ok"))</f>
        <v>N/A</v>
      </c>
      <c r="CT12" s="260"/>
    </row>
    <row r="13" spans="1:112" ht="5.25" customHeight="1" x14ac:dyDescent="0.2">
      <c r="C13" s="496"/>
      <c r="D13" s="203"/>
      <c r="E13" s="291"/>
      <c r="F13" s="203"/>
      <c r="G13" s="203"/>
      <c r="H13" s="203"/>
      <c r="I13" s="202"/>
      <c r="J13" s="202"/>
      <c r="K13" s="202"/>
      <c r="L13" s="202"/>
      <c r="M13" s="202"/>
      <c r="N13" s="202"/>
      <c r="O13" s="202"/>
      <c r="P13" s="286"/>
      <c r="Q13" s="202"/>
      <c r="R13" s="286"/>
      <c r="S13" s="202"/>
      <c r="T13" s="286"/>
      <c r="U13" s="202"/>
      <c r="V13" s="286"/>
      <c r="W13" s="202"/>
      <c r="X13" s="203"/>
      <c r="Y13" s="202"/>
      <c r="Z13" s="203"/>
      <c r="AA13" s="202"/>
      <c r="AB13" s="203"/>
      <c r="AC13" s="202"/>
      <c r="AD13" s="203"/>
      <c r="AE13" s="202"/>
      <c r="AF13" s="203"/>
      <c r="AG13" s="202"/>
      <c r="AH13" s="203"/>
      <c r="AI13" s="202"/>
      <c r="AJ13" s="286"/>
      <c r="AK13" s="202"/>
      <c r="AL13" s="203"/>
      <c r="AM13" s="202"/>
      <c r="AN13" s="203"/>
    </row>
    <row r="14" spans="1:112" x14ac:dyDescent="0.2">
      <c r="C14" s="347" t="s">
        <v>602</v>
      </c>
      <c r="D14" s="258"/>
      <c r="E14" s="453"/>
      <c r="F14" s="347"/>
      <c r="G14" s="347"/>
      <c r="AZ14" s="357" t="s">
        <v>630</v>
      </c>
    </row>
    <row r="15" spans="1:112" ht="25.5" customHeight="1" x14ac:dyDescent="0.2">
      <c r="A15" s="275"/>
      <c r="B15" s="275"/>
      <c r="C15" s="273" t="s">
        <v>490</v>
      </c>
      <c r="D15" s="739" t="s">
        <v>181</v>
      </c>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c r="AR15" s="739"/>
      <c r="AS15" s="739"/>
      <c r="AT15" s="739"/>
      <c r="AU15" s="739"/>
      <c r="AV15" s="739"/>
      <c r="AW15" s="739"/>
      <c r="AX15" s="739"/>
      <c r="AY15" s="550"/>
      <c r="AZ15" s="218" t="s">
        <v>600</v>
      </c>
      <c r="BA15" s="218" t="s">
        <v>601</v>
      </c>
      <c r="BB15" s="218" t="s">
        <v>603</v>
      </c>
      <c r="BC15" s="617">
        <v>1990</v>
      </c>
      <c r="BD15" s="618"/>
      <c r="BE15" s="617">
        <v>1995</v>
      </c>
      <c r="BF15" s="618"/>
      <c r="BG15" s="617">
        <v>1996</v>
      </c>
      <c r="BH15" s="618"/>
      <c r="BI15" s="617">
        <v>1997</v>
      </c>
      <c r="BJ15" s="618"/>
      <c r="BK15" s="617">
        <v>1998</v>
      </c>
      <c r="BL15" s="618"/>
      <c r="BM15" s="617">
        <v>1999</v>
      </c>
      <c r="BN15" s="618"/>
      <c r="BO15" s="617">
        <v>2000</v>
      </c>
      <c r="BP15" s="618"/>
      <c r="BQ15" s="617">
        <v>2001</v>
      </c>
      <c r="BR15" s="618"/>
      <c r="BS15" s="617">
        <v>2002</v>
      </c>
      <c r="BT15" s="618"/>
      <c r="BU15" s="617">
        <v>2003</v>
      </c>
      <c r="BV15" s="618"/>
      <c r="BW15" s="617">
        <v>2004</v>
      </c>
      <c r="BX15" s="618"/>
      <c r="BY15" s="617">
        <v>2005</v>
      </c>
      <c r="BZ15" s="618"/>
      <c r="CA15" s="617">
        <v>2006</v>
      </c>
      <c r="CB15" s="618"/>
      <c r="CC15" s="617">
        <v>2007</v>
      </c>
      <c r="CD15" s="618"/>
      <c r="CE15" s="617">
        <v>2008</v>
      </c>
      <c r="CF15" s="618"/>
      <c r="CG15" s="617">
        <v>2009</v>
      </c>
      <c r="CH15" s="618"/>
      <c r="CI15" s="617">
        <v>2010</v>
      </c>
      <c r="CJ15" s="618"/>
      <c r="CK15" s="617">
        <v>2011</v>
      </c>
      <c r="CL15" s="619"/>
      <c r="CM15" s="617">
        <v>2012</v>
      </c>
      <c r="CN15" s="618"/>
      <c r="CO15" s="617">
        <v>2013</v>
      </c>
      <c r="CP15" s="618"/>
      <c r="CQ15" s="617">
        <v>2014</v>
      </c>
      <c r="CR15" s="619"/>
      <c r="CS15" s="617">
        <v>2015</v>
      </c>
      <c r="CT15" s="219"/>
      <c r="CU15" s="276"/>
      <c r="CV15" s="276"/>
      <c r="CW15" s="276"/>
      <c r="CX15" s="276"/>
      <c r="CY15" s="276"/>
      <c r="CZ15" s="276"/>
      <c r="DA15" s="276"/>
      <c r="DB15" s="276"/>
      <c r="DC15" s="276"/>
      <c r="DD15" s="276"/>
      <c r="DE15" s="276"/>
      <c r="DF15" s="276"/>
      <c r="DG15" s="276"/>
      <c r="DH15" s="276"/>
    </row>
    <row r="16" spans="1:112" ht="25.5" customHeight="1" x14ac:dyDescent="0.2">
      <c r="A16" s="275"/>
      <c r="B16" s="275"/>
      <c r="C16" s="273" t="s">
        <v>490</v>
      </c>
      <c r="D16" s="730" t="s">
        <v>541</v>
      </c>
      <c r="E16" s="730"/>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30"/>
      <c r="AI16" s="730"/>
      <c r="AJ16" s="730"/>
      <c r="AK16" s="730"/>
      <c r="AL16" s="730"/>
      <c r="AM16" s="730"/>
      <c r="AN16" s="730"/>
      <c r="AO16" s="730"/>
      <c r="AP16" s="730"/>
      <c r="AQ16" s="730"/>
      <c r="AR16" s="730"/>
      <c r="AS16" s="730"/>
      <c r="AT16" s="730"/>
      <c r="AU16" s="730"/>
      <c r="AV16" s="730"/>
      <c r="AW16" s="730"/>
      <c r="AX16" s="730"/>
      <c r="AY16" s="550"/>
      <c r="AZ16" s="388">
        <v>1</v>
      </c>
      <c r="BA16" s="545" t="s">
        <v>410</v>
      </c>
      <c r="BB16" s="95" t="s">
        <v>595</v>
      </c>
      <c r="BC16" s="95">
        <f>G8</f>
        <v>0</v>
      </c>
      <c r="BD16" s="95"/>
      <c r="BE16" s="95">
        <f>I8</f>
        <v>0</v>
      </c>
      <c r="BF16" s="95"/>
      <c r="BG16" s="95">
        <f>K8</f>
        <v>0</v>
      </c>
      <c r="BH16" s="95"/>
      <c r="BI16" s="95">
        <f>M8</f>
        <v>0</v>
      </c>
      <c r="BJ16" s="95"/>
      <c r="BK16" s="95">
        <f>O8</f>
        <v>0</v>
      </c>
      <c r="BL16" s="95"/>
      <c r="BM16" s="95">
        <f>Q8</f>
        <v>0</v>
      </c>
      <c r="BN16" s="95"/>
      <c r="BO16" s="95">
        <f>S8</f>
        <v>0</v>
      </c>
      <c r="BP16" s="95"/>
      <c r="BQ16" s="95">
        <f>U8</f>
        <v>0</v>
      </c>
      <c r="BR16" s="95"/>
      <c r="BS16" s="95">
        <f>W8</f>
        <v>0</v>
      </c>
      <c r="BT16" s="95"/>
      <c r="BU16" s="95">
        <f>Y8</f>
        <v>0</v>
      </c>
      <c r="BV16" s="95"/>
      <c r="BW16" s="95">
        <f>AA8</f>
        <v>0</v>
      </c>
      <c r="BX16" s="95"/>
      <c r="BY16" s="95">
        <f>AC8</f>
        <v>0</v>
      </c>
      <c r="BZ16" s="95"/>
      <c r="CA16" s="95">
        <f>AE8</f>
        <v>0</v>
      </c>
      <c r="CB16" s="95"/>
      <c r="CC16" s="95">
        <f>AG8</f>
        <v>0</v>
      </c>
      <c r="CD16" s="95"/>
      <c r="CE16" s="95">
        <f>AI8</f>
        <v>0</v>
      </c>
      <c r="CF16" s="95"/>
      <c r="CG16" s="95">
        <f>AK8</f>
        <v>0</v>
      </c>
      <c r="CH16" s="95"/>
      <c r="CI16" s="95">
        <f>AM8</f>
        <v>0</v>
      </c>
      <c r="CJ16" s="95"/>
      <c r="CK16" s="95">
        <f>AO8</f>
        <v>0</v>
      </c>
      <c r="CL16" s="95"/>
      <c r="CM16" s="95">
        <f>AQ8</f>
        <v>0</v>
      </c>
      <c r="CN16" s="233"/>
      <c r="CO16" s="95">
        <f>AS8</f>
        <v>0</v>
      </c>
      <c r="CP16" s="95"/>
      <c r="CQ16" s="95">
        <f>AU8</f>
        <v>0</v>
      </c>
      <c r="CR16" s="95"/>
      <c r="CS16" s="95">
        <f>AW8</f>
        <v>0</v>
      </c>
      <c r="CT16" s="233"/>
      <c r="CU16" s="276"/>
      <c r="CV16" s="276"/>
      <c r="CW16" s="276"/>
      <c r="CX16" s="276"/>
      <c r="CY16" s="276"/>
      <c r="CZ16" s="276"/>
      <c r="DA16" s="276"/>
      <c r="DB16" s="276"/>
      <c r="DC16" s="276"/>
      <c r="DD16" s="276"/>
      <c r="DE16" s="276"/>
      <c r="DF16" s="276"/>
      <c r="DG16" s="276"/>
      <c r="DH16" s="276"/>
    </row>
    <row r="17" spans="1:112" ht="23.25" customHeight="1" x14ac:dyDescent="0.2">
      <c r="A17" s="275"/>
      <c r="B17" s="275"/>
      <c r="C17" s="273" t="s">
        <v>490</v>
      </c>
      <c r="D17" s="768" t="s">
        <v>626</v>
      </c>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550"/>
      <c r="AZ17" s="366">
        <v>2</v>
      </c>
      <c r="BA17" s="547" t="s">
        <v>411</v>
      </c>
      <c r="BB17" s="95" t="s">
        <v>595</v>
      </c>
      <c r="BC17" s="95">
        <f>G9</f>
        <v>0</v>
      </c>
      <c r="BD17" s="95"/>
      <c r="BE17" s="95">
        <f>I9</f>
        <v>0</v>
      </c>
      <c r="BF17" s="95"/>
      <c r="BG17" s="95">
        <f>K9</f>
        <v>0</v>
      </c>
      <c r="BH17" s="95"/>
      <c r="BI17" s="95">
        <f>M9</f>
        <v>0</v>
      </c>
      <c r="BJ17" s="95"/>
      <c r="BK17" s="95">
        <f>O9</f>
        <v>0</v>
      </c>
      <c r="BL17" s="95"/>
      <c r="BM17" s="95">
        <f>Q9</f>
        <v>0</v>
      </c>
      <c r="BN17" s="95"/>
      <c r="BO17" s="95">
        <f>S9</f>
        <v>0</v>
      </c>
      <c r="BP17" s="95"/>
      <c r="BQ17" s="95">
        <f>U9</f>
        <v>0</v>
      </c>
      <c r="BR17" s="95"/>
      <c r="BS17" s="95">
        <f>W9</f>
        <v>0</v>
      </c>
      <c r="BT17" s="95"/>
      <c r="BU17" s="95">
        <f>Y9</f>
        <v>0</v>
      </c>
      <c r="BV17" s="95"/>
      <c r="BW17" s="95">
        <f>AA9</f>
        <v>0</v>
      </c>
      <c r="BX17" s="95"/>
      <c r="BY17" s="95">
        <f>AC9</f>
        <v>0</v>
      </c>
      <c r="BZ17" s="95"/>
      <c r="CA17" s="95">
        <f>AE9</f>
        <v>0</v>
      </c>
      <c r="CB17" s="95"/>
      <c r="CC17" s="95">
        <f>AG9</f>
        <v>0</v>
      </c>
      <c r="CD17" s="95"/>
      <c r="CE17" s="95">
        <f>AI9</f>
        <v>0</v>
      </c>
      <c r="CF17" s="95"/>
      <c r="CG17" s="95">
        <f>AK9</f>
        <v>0</v>
      </c>
      <c r="CH17" s="95"/>
      <c r="CI17" s="95">
        <f>AM9</f>
        <v>0</v>
      </c>
      <c r="CJ17" s="95"/>
      <c r="CK17" s="95">
        <f>AO9</f>
        <v>0</v>
      </c>
      <c r="CL17" s="95"/>
      <c r="CM17" s="95">
        <f>AQ9</f>
        <v>0</v>
      </c>
      <c r="CN17" s="233"/>
      <c r="CO17" s="95">
        <f>AS9</f>
        <v>0</v>
      </c>
      <c r="CP17" s="95"/>
      <c r="CQ17" s="95">
        <f>AU9</f>
        <v>0</v>
      </c>
      <c r="CR17" s="95"/>
      <c r="CS17" s="95">
        <f>AW9</f>
        <v>0</v>
      </c>
      <c r="CT17" s="233"/>
      <c r="CU17" s="276"/>
      <c r="CV17" s="276"/>
      <c r="CW17" s="276"/>
      <c r="CX17" s="276"/>
      <c r="CY17" s="276"/>
      <c r="CZ17" s="276"/>
      <c r="DA17" s="276"/>
      <c r="DB17" s="276"/>
      <c r="DC17" s="276"/>
      <c r="DD17" s="276"/>
      <c r="DE17" s="276"/>
      <c r="DF17" s="276"/>
      <c r="DG17" s="276"/>
      <c r="DH17" s="276"/>
    </row>
    <row r="18" spans="1:112" s="186" customFormat="1" ht="16.5" customHeight="1" x14ac:dyDescent="0.2">
      <c r="A18" s="175"/>
      <c r="B18" s="176"/>
      <c r="C18" s="644"/>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Z18" s="284" t="s">
        <v>494</v>
      </c>
      <c r="BA18" s="281" t="s">
        <v>443</v>
      </c>
      <c r="BB18" s="95"/>
      <c r="BC18" s="95" t="str">
        <f>IF(OR(ISBLANK(G8),ISBLANK(G9)),"N/A",IF(BC16&gt;=BC17,"ok","&lt;&gt;"))</f>
        <v>N/A</v>
      </c>
      <c r="BD18" s="95"/>
      <c r="BE18" s="95" t="str">
        <f>IF(OR(ISBLANK(I8),ISBLANK(I9)),"N/A",IF(BE16&gt;=BE17,"ok","&lt;&gt;"))</f>
        <v>N/A</v>
      </c>
      <c r="BF18" s="95"/>
      <c r="BG18" s="95" t="str">
        <f>IF(OR(ISBLANK(K8),ISBLANK(K9)),"N/A",IF(BG16&gt;=BG17,"ok","&lt;&gt;"))</f>
        <v>N/A</v>
      </c>
      <c r="BH18" s="95"/>
      <c r="BI18" s="95" t="str">
        <f>IF(OR(ISBLANK(M8),ISBLANK(M9)),"N/A",IF(BI16&gt;=BI17,"ok","&lt;&gt;"))</f>
        <v>N/A</v>
      </c>
      <c r="BJ18" s="95"/>
      <c r="BK18" s="95" t="str">
        <f>IF(OR(ISBLANK(O8),ISBLANK(O9)),"N/A",IF(BK16&gt;=BK17,"ok","&lt;&gt;"))</f>
        <v>N/A</v>
      </c>
      <c r="BL18" s="95"/>
      <c r="BM18" s="95" t="str">
        <f>IF(OR(ISBLANK(Q8),ISBLANK(Q9)),"N/A",IF(BM16&gt;=BM17,"ok","&lt;&gt;"))</f>
        <v>N/A</v>
      </c>
      <c r="BN18" s="95"/>
      <c r="BO18" s="95" t="str">
        <f>IF(OR(ISBLANK(S8),ISBLANK(S9)),"N/A",IF(BO16&gt;=BO17,"ok","&lt;&gt;"))</f>
        <v>N/A</v>
      </c>
      <c r="BP18" s="95"/>
      <c r="BQ18" s="95" t="str">
        <f>IF(OR(ISBLANK(U8),ISBLANK(U9)),"N/A",IF(BQ16&gt;=BQ17,"ok","&lt;&gt;"))</f>
        <v>N/A</v>
      </c>
      <c r="BR18" s="95"/>
      <c r="BS18" s="95" t="str">
        <f>IF(OR(ISBLANK(W8),ISBLANK(W9)),"N/A",IF(BS16&gt;=BS17,"ok","&lt;&gt;"))</f>
        <v>N/A</v>
      </c>
      <c r="BT18" s="95"/>
      <c r="BU18" s="95" t="str">
        <f>IF(OR(ISBLANK(Y8),ISBLANK(Y9)),"N/A",IF(BU16&gt;=BU17,"ok","&lt;&gt;"))</f>
        <v>N/A</v>
      </c>
      <c r="BV18" s="95"/>
      <c r="BW18" s="95" t="str">
        <f>IF(OR(ISBLANK(AA8),ISBLANK(AA9)),"N/A",IF(BW16&gt;=BW17,"ok","&lt;&gt;"))</f>
        <v>N/A</v>
      </c>
      <c r="BX18" s="95"/>
      <c r="BY18" s="95" t="str">
        <f>IF(OR(ISBLANK(AC8),ISBLANK(AC9)),"N/A",IF(BY16&gt;=BY17,"ok","&lt;&gt;"))</f>
        <v>N/A</v>
      </c>
      <c r="BZ18" s="95"/>
      <c r="CA18" s="95" t="str">
        <f>IF(OR(ISBLANK(AE8),ISBLANK(AE9)),"N/A",IF(CA16&gt;=CA17,"ok","&lt;&gt;"))</f>
        <v>N/A</v>
      </c>
      <c r="CB18" s="95"/>
      <c r="CC18" s="95" t="str">
        <f>IF(OR(ISBLANK(AG8),ISBLANK(AG9)),"N/A",IF(CC16&gt;=CC17,"ok","&lt;&gt;"))</f>
        <v>N/A</v>
      </c>
      <c r="CD18" s="95"/>
      <c r="CE18" s="95" t="str">
        <f>IF(OR(ISBLANK(AI8),ISBLANK(AI9)),"N/A",IF(CE16&gt;=CE17,"ok","&lt;&gt;"))</f>
        <v>N/A</v>
      </c>
      <c r="CF18" s="95"/>
      <c r="CG18" s="95" t="str">
        <f>IF(OR(ISBLANK(AK8),ISBLANK(AK9)),"N/A",IF(CG16&gt;=CG17,"ok","&lt;&gt;"))</f>
        <v>N/A</v>
      </c>
      <c r="CH18" s="95"/>
      <c r="CI18" s="95" t="str">
        <f>IF(OR(ISBLANK(AM8),ISBLANK(AM9)),"N/A",IF(CI16&gt;=CI17,"ok","&lt;&gt;"))</f>
        <v>N/A</v>
      </c>
      <c r="CJ18" s="95"/>
      <c r="CK18" s="95" t="str">
        <f>IF(OR(ISBLANK(AO8),ISBLANK(AO9)),"N/A",IF(CK16&gt;=CK17,"ok","&lt;&gt;"))</f>
        <v>N/A</v>
      </c>
      <c r="CL18" s="95"/>
      <c r="CM18" s="95" t="str">
        <f>IF(OR(ISBLANK(AQ8),ISBLANK(AQ9)),"N/A",IF(CM16&gt;=CM17,"ok","&lt;&gt;"))</f>
        <v>N/A</v>
      </c>
      <c r="CN18" s="233"/>
      <c r="CO18" s="95" t="str">
        <f>IF(OR(ISBLANK(AS8),ISBLANK(AS9)),"N/A",IF(CO16&gt;=CO17,"ok","&lt;&gt;"))</f>
        <v>N/A</v>
      </c>
      <c r="CP18" s="95"/>
      <c r="CQ18" s="95" t="str">
        <f>IF(OR(ISBLANK(AU8),ISBLANK(AU9)),"N/A",IF(CQ16&gt;=CQ17,"ok","&lt;&gt;"))</f>
        <v>N/A</v>
      </c>
      <c r="CR18" s="95"/>
      <c r="CS18" s="95" t="str">
        <f>IF(OR(ISBLANK(AW8),ISBLANK(AW9)),"N/A",IF(CS16&gt;=CS17,"ok","&lt;&gt;"))</f>
        <v>N/A</v>
      </c>
      <c r="CT18" s="233"/>
    </row>
    <row r="19" spans="1:112" s="424" customFormat="1" ht="22.5" x14ac:dyDescent="0.25">
      <c r="A19" s="423"/>
      <c r="B19" s="408">
        <v>2</v>
      </c>
      <c r="C19" s="391" t="s">
        <v>306</v>
      </c>
      <c r="D19" s="392"/>
      <c r="E19" s="391"/>
      <c r="F19" s="205"/>
      <c r="G19" s="205"/>
      <c r="H19" s="393"/>
      <c r="I19" s="394"/>
      <c r="J19" s="394"/>
      <c r="K19" s="394"/>
      <c r="L19" s="394"/>
      <c r="M19" s="394"/>
      <c r="N19" s="394"/>
      <c r="O19" s="394"/>
      <c r="P19" s="395"/>
      <c r="Q19" s="394"/>
      <c r="R19" s="395"/>
      <c r="S19" s="394"/>
      <c r="T19" s="395"/>
      <c r="U19" s="394"/>
      <c r="V19" s="395"/>
      <c r="W19" s="394"/>
      <c r="X19" s="393"/>
      <c r="Y19" s="394"/>
      <c r="Z19" s="393"/>
      <c r="AA19" s="394"/>
      <c r="AB19" s="393"/>
      <c r="AC19" s="394"/>
      <c r="AD19" s="393"/>
      <c r="AE19" s="394"/>
      <c r="AF19" s="393"/>
      <c r="AG19" s="396"/>
      <c r="AH19" s="393"/>
      <c r="AI19" s="394"/>
      <c r="AJ19" s="395"/>
      <c r="AK19" s="394"/>
      <c r="AL19" s="393"/>
      <c r="AM19" s="394"/>
      <c r="AN19" s="393"/>
      <c r="AO19" s="394"/>
      <c r="AP19" s="394"/>
      <c r="AQ19" s="394"/>
      <c r="AR19" s="394"/>
      <c r="AS19" s="394"/>
      <c r="AT19" s="349"/>
      <c r="AU19" s="348"/>
      <c r="AV19" s="349"/>
      <c r="AW19" s="348"/>
      <c r="AX19" s="430"/>
      <c r="AZ19" s="95">
        <v>3</v>
      </c>
      <c r="BA19" s="549" t="s">
        <v>633</v>
      </c>
      <c r="BB19" s="95" t="s">
        <v>595</v>
      </c>
      <c r="BC19" s="95">
        <f>G10</f>
        <v>0</v>
      </c>
      <c r="BD19" s="95"/>
      <c r="BE19" s="95">
        <f>I10</f>
        <v>0</v>
      </c>
      <c r="BF19" s="95"/>
      <c r="BG19" s="95">
        <f>K10</f>
        <v>0</v>
      </c>
      <c r="BH19" s="95"/>
      <c r="BI19" s="95">
        <f>M10</f>
        <v>0</v>
      </c>
      <c r="BJ19" s="95"/>
      <c r="BK19" s="95">
        <f>O10</f>
        <v>0</v>
      </c>
      <c r="BL19" s="95"/>
      <c r="BM19" s="95">
        <f>Q10</f>
        <v>0</v>
      </c>
      <c r="BN19" s="95"/>
      <c r="BO19" s="95">
        <f>S10</f>
        <v>0</v>
      </c>
      <c r="BP19" s="95"/>
      <c r="BQ19" s="95">
        <f>U10</f>
        <v>0</v>
      </c>
      <c r="BR19" s="95"/>
      <c r="BS19" s="95">
        <f>W10</f>
        <v>0</v>
      </c>
      <c r="BT19" s="95"/>
      <c r="BU19" s="95">
        <f>Y10</f>
        <v>0</v>
      </c>
      <c r="BV19" s="95"/>
      <c r="BW19" s="95">
        <f>AA10</f>
        <v>0</v>
      </c>
      <c r="BX19" s="95"/>
      <c r="BY19" s="95">
        <f>AC10</f>
        <v>0</v>
      </c>
      <c r="BZ19" s="95"/>
      <c r="CA19" s="95">
        <f>AE10</f>
        <v>0</v>
      </c>
      <c r="CB19" s="95"/>
      <c r="CC19" s="95">
        <f>AG10</f>
        <v>0</v>
      </c>
      <c r="CD19" s="95"/>
      <c r="CE19" s="95">
        <f>AI10</f>
        <v>0</v>
      </c>
      <c r="CF19" s="95"/>
      <c r="CG19" s="95">
        <f>AK10</f>
        <v>0</v>
      </c>
      <c r="CH19" s="95"/>
      <c r="CI19" s="95">
        <f>AM10</f>
        <v>0</v>
      </c>
      <c r="CJ19" s="95"/>
      <c r="CK19" s="95">
        <f>AO10</f>
        <v>0</v>
      </c>
      <c r="CL19" s="95"/>
      <c r="CM19" s="95">
        <f>AQ10</f>
        <v>0</v>
      </c>
      <c r="CN19" s="233"/>
      <c r="CO19" s="95">
        <f>AS10</f>
        <v>0</v>
      </c>
      <c r="CP19" s="95"/>
      <c r="CQ19" s="95">
        <f>AU10</f>
        <v>0</v>
      </c>
      <c r="CR19" s="95"/>
      <c r="CS19" s="95">
        <f>AW10</f>
        <v>0</v>
      </c>
      <c r="CT19" s="233"/>
    </row>
    <row r="20" spans="1:112" ht="2.25" customHeight="1" x14ac:dyDescent="0.25">
      <c r="C20" s="397"/>
      <c r="D20" s="397"/>
      <c r="E20" s="398"/>
      <c r="F20" s="335"/>
      <c r="G20" s="335"/>
      <c r="H20" s="331"/>
      <c r="I20" s="332"/>
      <c r="J20" s="332"/>
      <c r="K20" s="332"/>
      <c r="L20" s="332"/>
      <c r="M20" s="332"/>
      <c r="N20" s="332"/>
      <c r="O20" s="332"/>
      <c r="P20" s="333"/>
      <c r="Q20" s="332"/>
      <c r="R20" s="333"/>
      <c r="S20" s="332"/>
      <c r="T20" s="333"/>
      <c r="U20" s="332"/>
      <c r="V20" s="333"/>
      <c r="W20" s="332"/>
      <c r="X20" s="331"/>
      <c r="Y20" s="332"/>
      <c r="Z20" s="331"/>
      <c r="AA20" s="332"/>
      <c r="AB20" s="331"/>
      <c r="AC20" s="332"/>
      <c r="AD20" s="331"/>
      <c r="AE20" s="332"/>
      <c r="AF20" s="331"/>
      <c r="AG20" s="399"/>
      <c r="AH20" s="331"/>
      <c r="AI20" s="332"/>
      <c r="AJ20" s="333"/>
      <c r="AK20" s="332"/>
      <c r="AL20" s="331"/>
      <c r="AM20" s="334"/>
      <c r="AN20" s="329"/>
      <c r="AO20" s="334"/>
      <c r="AP20" s="334"/>
      <c r="AQ20" s="334"/>
      <c r="AR20" s="334"/>
      <c r="AS20" s="334"/>
      <c r="AZ20" s="366"/>
      <c r="BA20" s="551"/>
      <c r="BB20" s="95"/>
      <c r="BC20" s="95"/>
      <c r="BD20" s="233"/>
      <c r="BE20" s="78"/>
      <c r="BF20" s="233"/>
      <c r="BG20" s="78"/>
      <c r="BH20" s="233"/>
      <c r="BI20" s="78"/>
      <c r="BJ20" s="233"/>
      <c r="BK20" s="78"/>
      <c r="BL20" s="233"/>
      <c r="BM20" s="78"/>
      <c r="BN20" s="233"/>
      <c r="BO20" s="78"/>
      <c r="BP20" s="233"/>
      <c r="BQ20" s="78"/>
      <c r="BR20" s="233"/>
      <c r="BS20" s="95"/>
      <c r="BT20" s="233"/>
      <c r="BU20" s="95"/>
      <c r="BV20" s="233"/>
      <c r="BW20" s="95"/>
      <c r="BX20" s="233"/>
      <c r="BY20" s="95"/>
      <c r="BZ20" s="233"/>
      <c r="CA20" s="95"/>
      <c r="CB20" s="233"/>
      <c r="CC20" s="95"/>
      <c r="CD20" s="233"/>
      <c r="CE20" s="78"/>
      <c r="CF20" s="233"/>
      <c r="CG20" s="95"/>
      <c r="CH20" s="233"/>
      <c r="CI20" s="95"/>
      <c r="CJ20" s="233"/>
      <c r="CK20" s="95"/>
      <c r="CL20" s="233"/>
      <c r="CM20" s="95"/>
      <c r="CN20" s="233"/>
      <c r="CO20" s="95"/>
      <c r="CP20" s="233"/>
      <c r="CQ20" s="95"/>
      <c r="CR20" s="233"/>
      <c r="CS20" s="95"/>
      <c r="CT20" s="233"/>
    </row>
    <row r="21" spans="1:112" ht="26.25" customHeight="1" x14ac:dyDescent="0.2">
      <c r="C21" s="307" t="s">
        <v>604</v>
      </c>
      <c r="D21" s="757" t="s">
        <v>307</v>
      </c>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c r="AR21" s="758"/>
      <c r="AS21" s="758"/>
      <c r="AT21" s="758"/>
      <c r="AU21" s="758"/>
      <c r="AV21" s="758"/>
      <c r="AW21" s="758"/>
      <c r="AX21" s="759"/>
      <c r="AZ21" s="284" t="s">
        <v>494</v>
      </c>
      <c r="BA21" s="281" t="s">
        <v>442</v>
      </c>
      <c r="BB21" s="95"/>
      <c r="BC21" s="95" t="str">
        <f>IF(OR(ISBLANK(G10),ISBLANK(G9)),"N/A",IF(BC17&gt;=BC19,"ok","&lt;&gt;"))</f>
        <v>N/A</v>
      </c>
      <c r="BD21" s="95"/>
      <c r="BE21" s="95" t="str">
        <f>IF(OR(ISBLANK(I10),ISBLANK(I9)),"N/A",IF(BE17&gt;=BE19,"ok","&lt;&gt;"))</f>
        <v>N/A</v>
      </c>
      <c r="BF21" s="95"/>
      <c r="BG21" s="95" t="str">
        <f>IF(OR(ISBLANK(K10),ISBLANK(K9)),"N/A",IF(BG17&gt;=BG19,"ok","&lt;&gt;"))</f>
        <v>N/A</v>
      </c>
      <c r="BH21" s="95"/>
      <c r="BI21" s="95" t="str">
        <f>IF(OR(ISBLANK(M10),ISBLANK(M9)),"N/A",IF(BI17&gt;=BI19,"ok","&lt;&gt;"))</f>
        <v>N/A</v>
      </c>
      <c r="BJ21" s="95"/>
      <c r="BK21" s="95" t="str">
        <f>IF(OR(ISBLANK(O10),ISBLANK(O9)),"N/A",IF(BK17&gt;=BK19,"ok","&lt;&gt;"))</f>
        <v>N/A</v>
      </c>
      <c r="BL21" s="95"/>
      <c r="BM21" s="95" t="str">
        <f>IF(OR(ISBLANK(Q10),ISBLANK(Q9)),"N/A",IF(BM17&gt;=BM19,"ok","&lt;&gt;"))</f>
        <v>N/A</v>
      </c>
      <c r="BN21" s="95"/>
      <c r="BO21" s="95" t="str">
        <f>IF(OR(ISBLANK(S10),ISBLANK(S9)),"N/A",IF(BO17&gt;=BO19,"ok","&lt;&gt;"))</f>
        <v>N/A</v>
      </c>
      <c r="BP21" s="95"/>
      <c r="BQ21" s="95" t="str">
        <f>IF(OR(ISBLANK(U10),ISBLANK(U9)),"N/A",IF(BQ17&gt;=BQ19,"ok","&lt;&gt;"))</f>
        <v>N/A</v>
      </c>
      <c r="BR21" s="95"/>
      <c r="BS21" s="95" t="str">
        <f>IF(OR(ISBLANK(W10),ISBLANK(W9)),"N/A",IF(BS17&gt;=BS19,"ok","&lt;&gt;"))</f>
        <v>N/A</v>
      </c>
      <c r="BT21" s="95"/>
      <c r="BU21" s="95" t="str">
        <f>IF(OR(ISBLANK(Y10),ISBLANK(Y9)),"N/A",IF(BU17&gt;=BU19,"ok","&lt;&gt;"))</f>
        <v>N/A</v>
      </c>
      <c r="BV21" s="95"/>
      <c r="BW21" s="95" t="str">
        <f>IF(OR(ISBLANK(AA10),ISBLANK(AA9)),"N/A",IF(BW17&gt;=BW19,"ok","&lt;&gt;"))</f>
        <v>N/A</v>
      </c>
      <c r="BX21" s="95"/>
      <c r="BY21" s="95" t="str">
        <f>IF(OR(ISBLANK(AC10),ISBLANK(AC9)),"N/A",IF(BY17&gt;=BY19,"ok","&lt;&gt;"))</f>
        <v>N/A</v>
      </c>
      <c r="BZ21" s="95"/>
      <c r="CA21" s="95" t="str">
        <f>IF(OR(ISBLANK(AE10),ISBLANK(AE9)),"N/A",IF(CA17&gt;=CA19,"ok","&lt;&gt;"))</f>
        <v>N/A</v>
      </c>
      <c r="CB21" s="95"/>
      <c r="CC21" s="95" t="str">
        <f>IF(OR(ISBLANK(AG10),ISBLANK(AG9)),"N/A",IF(CC17&gt;=CC19,"ok","&lt;&gt;"))</f>
        <v>N/A</v>
      </c>
      <c r="CD21" s="95"/>
      <c r="CE21" s="95" t="str">
        <f>IF(OR(ISBLANK(AI10),ISBLANK(AI9)),"N/A",IF(CE17&gt;=CE19,"ok","&lt;&gt;"))</f>
        <v>N/A</v>
      </c>
      <c r="CF21" s="95"/>
      <c r="CG21" s="95" t="str">
        <f>IF(OR(ISBLANK(AK10),ISBLANK(AK9)),"N/A",IF(CG17&gt;=CG19,"ok","&lt;&gt;"))</f>
        <v>N/A</v>
      </c>
      <c r="CH21" s="95"/>
      <c r="CI21" s="95" t="str">
        <f>IF(OR(ISBLANK(AM10),ISBLANK(AM9)),"N/A",IF(CI17&gt;=CI19,"ok","&lt;&gt;"))</f>
        <v>N/A</v>
      </c>
      <c r="CJ21" s="95"/>
      <c r="CK21" s="95" t="str">
        <f>IF(OR(ISBLANK(AO10),ISBLANK(AO9)),"N/A",IF(CK17&gt;=CK19,"ok","&lt;&gt;"))</f>
        <v>N/A</v>
      </c>
      <c r="CL21" s="95"/>
      <c r="CM21" s="95" t="str">
        <f>IF(OR(ISBLANK(AQ10),ISBLANK(AQ9)),"N/A",IF(CM17&gt;=CM19,"ok","&lt;&gt;"))</f>
        <v>N/A</v>
      </c>
      <c r="CN21" s="233"/>
      <c r="CO21" s="95" t="str">
        <f>IF(OR(ISBLANK(AS10),ISBLANK(AS9)),"N/A",IF(CO17&gt;=CO19,"ok","&lt;&gt;"))</f>
        <v>N/A</v>
      </c>
      <c r="CP21" s="95"/>
      <c r="CQ21" s="95" t="str">
        <f>IF(OR(ISBLANK(AU10),ISBLANK(AU9)),"N/A",IF(CQ17&gt;=CQ19,"ok","&lt;&gt;"))</f>
        <v>N/A</v>
      </c>
      <c r="CR21" s="95"/>
      <c r="CS21" s="95" t="str">
        <f>IF(OR(ISBLANK(AW10),ISBLANK(AW9)),"N/A",IF(CS17&gt;=CS19,"ok","&lt;&gt;"))</f>
        <v>N/A</v>
      </c>
      <c r="CT21" s="233"/>
    </row>
    <row r="22" spans="1:112" ht="18" customHeight="1" x14ac:dyDescent="0.2">
      <c r="C22" s="579"/>
      <c r="D22" s="760"/>
      <c r="E22" s="761"/>
      <c r="F22" s="761"/>
      <c r="G22" s="761"/>
      <c r="H22" s="761"/>
      <c r="I22" s="761"/>
      <c r="J22" s="761"/>
      <c r="K22" s="761"/>
      <c r="L22" s="761"/>
      <c r="M22" s="761"/>
      <c r="N22" s="761"/>
      <c r="O22" s="761"/>
      <c r="P22" s="761"/>
      <c r="Q22" s="761"/>
      <c r="R22" s="761"/>
      <c r="S22" s="761"/>
      <c r="T22" s="761"/>
      <c r="U22" s="761"/>
      <c r="V22" s="761"/>
      <c r="W22" s="761"/>
      <c r="X22" s="761"/>
      <c r="Y22" s="761"/>
      <c r="Z22" s="761"/>
      <c r="AA22" s="761"/>
      <c r="AB22" s="761"/>
      <c r="AC22" s="761"/>
      <c r="AD22" s="761"/>
      <c r="AE22" s="761"/>
      <c r="AF22" s="761"/>
      <c r="AG22" s="761"/>
      <c r="AH22" s="761"/>
      <c r="AI22" s="761"/>
      <c r="AJ22" s="761"/>
      <c r="AK22" s="761"/>
      <c r="AL22" s="761"/>
      <c r="AM22" s="761"/>
      <c r="AN22" s="761"/>
      <c r="AO22" s="761"/>
      <c r="AP22" s="761"/>
      <c r="AQ22" s="761"/>
      <c r="AR22" s="761"/>
      <c r="AS22" s="761"/>
      <c r="AT22" s="761"/>
      <c r="AU22" s="761"/>
      <c r="AV22" s="761"/>
      <c r="AW22" s="761"/>
      <c r="AX22" s="762"/>
      <c r="AZ22" s="80">
        <v>5</v>
      </c>
      <c r="BA22" s="237" t="s">
        <v>459</v>
      </c>
      <c r="BB22" s="80" t="s">
        <v>595</v>
      </c>
      <c r="BC22" s="95">
        <f>G12</f>
        <v>0</v>
      </c>
      <c r="BD22" s="95"/>
      <c r="BE22" s="95">
        <f>I12</f>
        <v>0</v>
      </c>
      <c r="BF22" s="95"/>
      <c r="BG22" s="95">
        <f>K12</f>
        <v>0</v>
      </c>
      <c r="BH22" s="95"/>
      <c r="BI22" s="95">
        <f>M12</f>
        <v>0</v>
      </c>
      <c r="BJ22" s="95"/>
      <c r="BK22" s="95">
        <f>O12</f>
        <v>0</v>
      </c>
      <c r="BL22" s="95"/>
      <c r="BM22" s="95">
        <f>Q12</f>
        <v>0</v>
      </c>
      <c r="BN22" s="95"/>
      <c r="BO22" s="95">
        <f>S12</f>
        <v>0</v>
      </c>
      <c r="BP22" s="95"/>
      <c r="BQ22" s="95">
        <f>U12</f>
        <v>0</v>
      </c>
      <c r="BR22" s="95"/>
      <c r="BS22" s="95">
        <f>W12</f>
        <v>0</v>
      </c>
      <c r="BT22" s="95"/>
      <c r="BU22" s="95">
        <f>Y12</f>
        <v>0</v>
      </c>
      <c r="BV22" s="95"/>
      <c r="BW22" s="95">
        <f>AA12</f>
        <v>0</v>
      </c>
      <c r="BX22" s="95"/>
      <c r="BY22" s="95">
        <f>AC12</f>
        <v>0</v>
      </c>
      <c r="BZ22" s="95"/>
      <c r="CA22" s="95">
        <f>AE12</f>
        <v>0</v>
      </c>
      <c r="CB22" s="95"/>
      <c r="CC22" s="95">
        <f>AG12</f>
        <v>0</v>
      </c>
      <c r="CD22" s="95"/>
      <c r="CE22" s="95">
        <f>AI12</f>
        <v>0</v>
      </c>
      <c r="CF22" s="95"/>
      <c r="CG22" s="95">
        <f>AK12</f>
        <v>0</v>
      </c>
      <c r="CH22" s="95"/>
      <c r="CI22" s="95">
        <f>AM12</f>
        <v>0</v>
      </c>
      <c r="CJ22" s="95"/>
      <c r="CK22" s="95">
        <f>AO12</f>
        <v>0</v>
      </c>
      <c r="CL22" s="95"/>
      <c r="CM22" s="95">
        <f>AQ12</f>
        <v>0</v>
      </c>
      <c r="CN22" s="233"/>
      <c r="CO22" s="95">
        <f>AS12</f>
        <v>0</v>
      </c>
      <c r="CP22" s="95"/>
      <c r="CQ22" s="95">
        <f>AU12</f>
        <v>0</v>
      </c>
      <c r="CR22" s="95"/>
      <c r="CS22" s="95">
        <f>AW12</f>
        <v>0</v>
      </c>
      <c r="CT22" s="233"/>
    </row>
    <row r="23" spans="1:112" ht="18" customHeight="1" x14ac:dyDescent="0.2">
      <c r="C23" s="579"/>
      <c r="D23" s="745"/>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7"/>
      <c r="AZ23" s="308" t="s">
        <v>494</v>
      </c>
      <c r="BA23" s="309" t="s">
        <v>422</v>
      </c>
      <c r="BB23" s="93"/>
      <c r="BC23" s="93" t="str">
        <f>IF(OR(ISBLANK(G12),ISBLANK(G9),ISBLANK(G11)),"N/A",IF(BC22=100-G11-G9,"ok","&lt;&gt;"))</f>
        <v>N/A</v>
      </c>
      <c r="BD23" s="93"/>
      <c r="BE23" s="93" t="str">
        <f>IF(OR(ISBLANK(I12),ISBLANK(I9),ISBLANK(I11)),"N/A",IF(BE22=100-I11-I9,"ok","&lt;&gt;"))</f>
        <v>N/A</v>
      </c>
      <c r="BF23" s="93"/>
      <c r="BG23" s="93" t="str">
        <f>IF(OR(ISBLANK(K12),ISBLANK(K9),ISBLANK(K11)),"N/A",IF(BG22=100-K11-K9,"ok","&lt;&gt;"))</f>
        <v>N/A</v>
      </c>
      <c r="BH23" s="93"/>
      <c r="BI23" s="93" t="str">
        <f>IF(OR(ISBLANK(M12),ISBLANK(M9),ISBLANK(M11)),"N/A",IF(BI22=100-M11-M9,"ok","&lt;&gt;"))</f>
        <v>N/A</v>
      </c>
      <c r="BJ23" s="93"/>
      <c r="BK23" s="93" t="str">
        <f>IF(OR(ISBLANK(O12),ISBLANK(O9),ISBLANK(O11)),"N/A",IF(BK22=100-O11-O9,"ok","&lt;&gt;"))</f>
        <v>N/A</v>
      </c>
      <c r="BL23" s="93"/>
      <c r="BM23" s="93" t="str">
        <f>IF(OR(ISBLANK(Q12),ISBLANK(Q9),ISBLANK(Q11)),"N/A",IF(BM22=100-Q11-Q9,"ok","&lt;&gt;"))</f>
        <v>N/A</v>
      </c>
      <c r="BN23" s="93"/>
      <c r="BO23" s="93" t="str">
        <f>IF(OR(ISBLANK(S12),ISBLANK(S9),ISBLANK(S11)),"N/A",IF(BO22=100-S11-S9,"ok","&lt;&gt;"))</f>
        <v>N/A</v>
      </c>
      <c r="BP23" s="93"/>
      <c r="BQ23" s="93" t="str">
        <f>IF(OR(ISBLANK(U12),ISBLANK(U9),ISBLANK(U11)),"N/A",IF(BQ22=100-U11-U9,"ok","&lt;&gt;"))</f>
        <v>N/A</v>
      </c>
      <c r="BR23" s="93"/>
      <c r="BS23" s="93" t="str">
        <f>IF(OR(ISBLANK(W12),ISBLANK(W9),ISBLANK(W11)),"N/A",IF(BS22=100-W11-W9,"ok","&lt;&gt;"))</f>
        <v>N/A</v>
      </c>
      <c r="BT23" s="93"/>
      <c r="BU23" s="93" t="str">
        <f>IF(OR(ISBLANK(Y12),ISBLANK(Y9),ISBLANK(Y11)),"N/A",IF(BU22=100-Y11-Y9,"ok","&lt;&gt;"))</f>
        <v>N/A</v>
      </c>
      <c r="BV23" s="93"/>
      <c r="BW23" s="93" t="str">
        <f>IF(OR(ISBLANK(AA12),ISBLANK(AA9),ISBLANK(AA11)),"N/A",IF(BW22=100-AA11-AA9,"ok","&lt;&gt;"))</f>
        <v>N/A</v>
      </c>
      <c r="BX23" s="93"/>
      <c r="BY23" s="93" t="str">
        <f>IF(OR(ISBLANK(AC12),ISBLANK(AC9),ISBLANK(AC11)),"N/A",IF(BY22=100-AC11-AC9,"ok","&lt;&gt;"))</f>
        <v>N/A</v>
      </c>
      <c r="BZ23" s="93"/>
      <c r="CA23" s="93" t="str">
        <f>IF(OR(ISBLANK(AE12),ISBLANK(AE9),ISBLANK(AE11)),"N/A",IF(CA22=100-AE11-AE9,"ok","&lt;&gt;"))</f>
        <v>N/A</v>
      </c>
      <c r="CB23" s="93"/>
      <c r="CC23" s="93" t="str">
        <f>IF(OR(ISBLANK(AG12),ISBLANK(AG9),ISBLANK(AG11)),"N/A",IF(CC22=100-AG11-AG9,"ok","&lt;&gt;"))</f>
        <v>N/A</v>
      </c>
      <c r="CD23" s="93"/>
      <c r="CE23" s="93" t="str">
        <f>IF(OR(ISBLANK(AI12),ISBLANK(AI9),ISBLANK(AI11)),"N/A",IF(CE22=100-AI11-AI9,"ok","&lt;&gt;"))</f>
        <v>N/A</v>
      </c>
      <c r="CF23" s="93"/>
      <c r="CG23" s="93" t="str">
        <f>IF(OR(ISBLANK(AK12),ISBLANK(AK9),ISBLANK(AK11)),"N/A",IF(CG22=100-AK11-AK9,"ok","&lt;&gt;"))</f>
        <v>N/A</v>
      </c>
      <c r="CH23" s="93"/>
      <c r="CI23" s="93" t="str">
        <f>IF(OR(ISBLANK(AM12),ISBLANK(AM9),ISBLANK(AM11)),"N/A",IF(CI22=100-AM11-AM9,"ok","&lt;&gt;"))</f>
        <v>N/A</v>
      </c>
      <c r="CJ23" s="93"/>
      <c r="CK23" s="93" t="str">
        <f>IF(OR(ISBLANK(AO12),ISBLANK(AO9),ISBLANK(AO11)),"N/A",IF(CK22=100-AO11-AO9,"ok","&lt;&gt;"))</f>
        <v>N/A</v>
      </c>
      <c r="CL23" s="93"/>
      <c r="CM23" s="93" t="str">
        <f>IF(OR(ISBLANK(AQ12),ISBLANK(AQ9),ISBLANK(AQ11)),"N/A",IF(CM22=100-AQ11-AQ9,"ok","&lt;&gt;"))</f>
        <v>N/A</v>
      </c>
      <c r="CN23" s="93"/>
      <c r="CO23" s="93" t="str">
        <f>IF(OR(ISBLANK(AS12),ISBLANK(AS9),ISBLANK(AS11)),"N/A",IF(CO22=100-AS11-AS9,"ok","&lt;&gt;"))</f>
        <v>N/A</v>
      </c>
      <c r="CP23" s="93"/>
      <c r="CQ23" s="93" t="str">
        <f>IF(OR(ISBLANK(AU12),ISBLANK(AU9),ISBLANK(AU11)),"N/A",IF(CQ22=100-AU11-AU9,"ok","&lt;&gt;"))</f>
        <v>N/A</v>
      </c>
      <c r="CR23" s="93"/>
      <c r="CS23" s="93" t="str">
        <f>IF(OR(ISBLANK(AW12),ISBLANK(AW9),ISBLANK(AW11)),"N/A",IF(CS22=100-AW11-AW9,"ok","&lt;&gt;"))</f>
        <v>N/A</v>
      </c>
      <c r="CT23" s="260"/>
    </row>
    <row r="24" spans="1:112" ht="18" customHeight="1" x14ac:dyDescent="0.2">
      <c r="C24" s="579"/>
      <c r="D24" s="745"/>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7"/>
      <c r="AZ24" s="310" t="s">
        <v>450</v>
      </c>
      <c r="BA24" s="311" t="s">
        <v>451</v>
      </c>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402"/>
      <c r="CO24" s="94"/>
      <c r="CP24" s="94"/>
      <c r="CQ24" s="94"/>
      <c r="CR24" s="94"/>
      <c r="CS24" s="94"/>
      <c r="CT24" s="402"/>
    </row>
    <row r="25" spans="1:112" ht="18" customHeight="1" x14ac:dyDescent="0.2">
      <c r="C25" s="579"/>
      <c r="D25" s="745"/>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c r="AR25" s="746"/>
      <c r="AS25" s="746"/>
      <c r="AT25" s="746"/>
      <c r="AU25" s="746"/>
      <c r="AV25" s="746"/>
      <c r="AW25" s="746"/>
      <c r="AX25" s="747"/>
      <c r="AZ25" s="310" t="s">
        <v>452</v>
      </c>
      <c r="BA25" s="311" t="s">
        <v>453</v>
      </c>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425"/>
      <c r="CN25" s="425"/>
      <c r="CO25" s="425"/>
      <c r="CP25" s="425"/>
      <c r="CQ25" s="425"/>
      <c r="CR25" s="425"/>
      <c r="CS25" s="425"/>
      <c r="CT25" s="425"/>
    </row>
    <row r="26" spans="1:112" ht="18" customHeight="1" x14ac:dyDescent="0.2">
      <c r="C26" s="579"/>
      <c r="D26" s="745"/>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46"/>
      <c r="AU26" s="746"/>
      <c r="AV26" s="746"/>
      <c r="AW26" s="746"/>
      <c r="AX26" s="747"/>
      <c r="AZ26" s="312" t="s">
        <v>455</v>
      </c>
      <c r="BA26" s="311" t="s">
        <v>457</v>
      </c>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425"/>
      <c r="CS26" s="425"/>
      <c r="CT26" s="425"/>
    </row>
    <row r="27" spans="1:112" ht="18" customHeight="1" x14ac:dyDescent="0.2">
      <c r="C27" s="579"/>
      <c r="D27" s="745"/>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c r="AN27" s="746"/>
      <c r="AO27" s="746"/>
      <c r="AP27" s="746"/>
      <c r="AQ27" s="746"/>
      <c r="AR27" s="746"/>
      <c r="AS27" s="746"/>
      <c r="AT27" s="746"/>
      <c r="AU27" s="746"/>
      <c r="AV27" s="746"/>
      <c r="AW27" s="746"/>
      <c r="AX27" s="747"/>
      <c r="AZ27" s="312" t="s">
        <v>454</v>
      </c>
      <c r="BA27" s="311" t="s">
        <v>412</v>
      </c>
      <c r="BB27" s="94"/>
      <c r="BC27" s="94"/>
      <c r="BD27" s="402"/>
      <c r="BE27" s="111"/>
      <c r="BF27" s="402"/>
      <c r="BG27" s="111"/>
      <c r="BH27" s="402"/>
      <c r="BI27" s="111"/>
      <c r="BJ27" s="402"/>
      <c r="BK27" s="111"/>
      <c r="BL27" s="402"/>
      <c r="BM27" s="111"/>
      <c r="BN27" s="402"/>
      <c r="BO27" s="111"/>
      <c r="BP27" s="402"/>
      <c r="BQ27" s="111"/>
      <c r="BR27" s="402"/>
      <c r="BS27" s="94"/>
      <c r="BT27" s="402"/>
      <c r="BU27" s="94"/>
      <c r="BV27" s="402"/>
      <c r="BW27" s="94"/>
      <c r="BX27" s="402"/>
      <c r="BY27" s="94"/>
      <c r="BZ27" s="402"/>
      <c r="CA27" s="94"/>
      <c r="CB27" s="402"/>
      <c r="CC27" s="94"/>
      <c r="CD27" s="402"/>
      <c r="CE27" s="111"/>
      <c r="CF27" s="402"/>
      <c r="CG27" s="94"/>
      <c r="CH27" s="402"/>
      <c r="CI27" s="94"/>
      <c r="CJ27" s="402"/>
      <c r="CK27" s="94"/>
      <c r="CL27" s="402"/>
      <c r="CM27" s="94"/>
      <c r="CN27" s="402"/>
      <c r="CO27" s="94"/>
      <c r="CP27" s="402"/>
      <c r="CQ27" s="94"/>
      <c r="CR27" s="402"/>
      <c r="CS27" s="94"/>
      <c r="CT27" s="402"/>
    </row>
    <row r="28" spans="1:112" ht="18" customHeight="1" x14ac:dyDescent="0.2">
      <c r="C28" s="579"/>
      <c r="D28" s="745"/>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746"/>
      <c r="AT28" s="746"/>
      <c r="AU28" s="746"/>
      <c r="AV28" s="746"/>
      <c r="AW28" s="746"/>
      <c r="AX28" s="747"/>
      <c r="BB28" s="94"/>
      <c r="BC28" s="94"/>
      <c r="BD28" s="402"/>
      <c r="BE28" s="111"/>
      <c r="BF28" s="402"/>
      <c r="BG28" s="111"/>
      <c r="BH28" s="402"/>
      <c r="BI28" s="111"/>
      <c r="BJ28" s="402"/>
      <c r="BK28" s="111"/>
      <c r="BL28" s="402"/>
      <c r="BM28" s="111"/>
      <c r="BN28" s="402"/>
      <c r="BO28" s="111"/>
      <c r="BP28" s="402"/>
      <c r="BQ28" s="111"/>
      <c r="BR28" s="402"/>
      <c r="BS28" s="94"/>
      <c r="BT28" s="402"/>
      <c r="BU28" s="94"/>
      <c r="BV28" s="402"/>
      <c r="BW28" s="94"/>
      <c r="BX28" s="402"/>
      <c r="BY28" s="94"/>
      <c r="BZ28" s="402"/>
      <c r="CA28" s="94"/>
      <c r="CB28" s="402"/>
      <c r="CC28" s="94"/>
      <c r="CD28" s="402"/>
      <c r="CE28" s="111"/>
      <c r="CF28" s="402"/>
      <c r="CG28" s="94"/>
      <c r="CH28" s="402"/>
      <c r="CI28" s="94"/>
      <c r="CJ28" s="402"/>
      <c r="CK28" s="94"/>
      <c r="CL28" s="402"/>
      <c r="CM28" s="94"/>
      <c r="CN28" s="402"/>
      <c r="CO28" s="94"/>
      <c r="CP28" s="402"/>
      <c r="CQ28" s="94"/>
      <c r="CR28" s="402"/>
      <c r="CS28" s="94"/>
      <c r="CT28" s="402"/>
    </row>
    <row r="29" spans="1:112" ht="18" customHeight="1" x14ac:dyDescent="0.2">
      <c r="C29" s="579"/>
      <c r="D29" s="745"/>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6"/>
      <c r="AS29" s="746"/>
      <c r="AT29" s="746"/>
      <c r="AU29" s="746"/>
      <c r="AV29" s="746"/>
      <c r="AW29" s="746"/>
      <c r="AX29" s="747"/>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c r="BY29" s="425"/>
      <c r="BZ29" s="425"/>
      <c r="CA29" s="425"/>
      <c r="CB29" s="425"/>
      <c r="CC29" s="425"/>
      <c r="CD29" s="425"/>
      <c r="CE29" s="425"/>
      <c r="CF29" s="425"/>
      <c r="CG29" s="425"/>
      <c r="CH29" s="425"/>
      <c r="CI29" s="425"/>
      <c r="CJ29" s="425"/>
      <c r="CK29" s="425"/>
      <c r="CL29" s="425"/>
      <c r="CM29" s="425"/>
      <c r="CN29" s="425"/>
      <c r="CO29" s="425"/>
      <c r="CP29" s="425"/>
      <c r="CQ29" s="425"/>
      <c r="CR29" s="425"/>
      <c r="CS29" s="425"/>
      <c r="CT29" s="425"/>
    </row>
    <row r="30" spans="1:112" ht="18" customHeight="1" x14ac:dyDescent="0.2">
      <c r="C30" s="579"/>
      <c r="D30" s="745"/>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425"/>
      <c r="CS30" s="425"/>
      <c r="CT30" s="425"/>
    </row>
    <row r="31" spans="1:112" ht="18" customHeight="1" x14ac:dyDescent="0.2">
      <c r="C31" s="579"/>
      <c r="D31" s="745"/>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46"/>
      <c r="AL31" s="746"/>
      <c r="AM31" s="746"/>
      <c r="AN31" s="746"/>
      <c r="AO31" s="746"/>
      <c r="AP31" s="746"/>
      <c r="AQ31" s="746"/>
      <c r="AR31" s="746"/>
      <c r="AS31" s="746"/>
      <c r="AT31" s="746"/>
      <c r="AU31" s="746"/>
      <c r="AV31" s="746"/>
      <c r="AW31" s="746"/>
      <c r="AX31" s="747"/>
      <c r="BA31" s="313"/>
    </row>
    <row r="32" spans="1:112" ht="18" customHeight="1" x14ac:dyDescent="0.2">
      <c r="C32" s="579"/>
      <c r="D32" s="745"/>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c r="AN32" s="746"/>
      <c r="AO32" s="746"/>
      <c r="AP32" s="746"/>
      <c r="AQ32" s="746"/>
      <c r="AR32" s="746"/>
      <c r="AS32" s="746"/>
      <c r="AT32" s="746"/>
      <c r="AU32" s="746"/>
      <c r="AV32" s="746"/>
      <c r="AW32" s="746"/>
      <c r="AX32" s="747"/>
    </row>
    <row r="33" spans="1:98" ht="18" customHeight="1" x14ac:dyDescent="0.2">
      <c r="C33" s="579"/>
      <c r="D33" s="745"/>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7"/>
    </row>
    <row r="34" spans="1:98" ht="18" customHeight="1" x14ac:dyDescent="0.2">
      <c r="C34" s="579"/>
      <c r="D34" s="745"/>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746"/>
      <c r="AS34" s="746"/>
      <c r="AT34" s="746"/>
      <c r="AU34" s="746"/>
      <c r="AV34" s="746"/>
      <c r="AW34" s="746"/>
      <c r="AX34" s="747"/>
    </row>
    <row r="35" spans="1:98" ht="18" customHeight="1" x14ac:dyDescent="0.2">
      <c r="C35" s="579"/>
      <c r="D35" s="745"/>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7"/>
    </row>
    <row r="36" spans="1:98" ht="18" customHeight="1" x14ac:dyDescent="0.2">
      <c r="C36" s="579"/>
      <c r="D36" s="745"/>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47"/>
    </row>
    <row r="37" spans="1:98" ht="18" customHeight="1" x14ac:dyDescent="0.2">
      <c r="C37" s="579"/>
      <c r="D37" s="745"/>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c r="AV37" s="746"/>
      <c r="AW37" s="746"/>
      <c r="AX37" s="747"/>
    </row>
    <row r="38" spans="1:98" ht="18" customHeight="1" x14ac:dyDescent="0.2">
      <c r="C38" s="579"/>
      <c r="D38" s="745"/>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7"/>
    </row>
    <row r="39" spans="1:98" ht="18" customHeight="1" x14ac:dyDescent="0.2">
      <c r="C39" s="579"/>
      <c r="D39" s="745"/>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7"/>
    </row>
    <row r="40" spans="1:98" ht="18" customHeight="1" x14ac:dyDescent="0.2">
      <c r="C40" s="579"/>
      <c r="D40" s="745"/>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6"/>
      <c r="AS40" s="746"/>
      <c r="AT40" s="746"/>
      <c r="AU40" s="746"/>
      <c r="AV40" s="746"/>
      <c r="AW40" s="746"/>
      <c r="AX40" s="747"/>
    </row>
    <row r="41" spans="1:98" ht="18" customHeight="1" x14ac:dyDescent="0.2">
      <c r="C41" s="579"/>
      <c r="D41" s="745"/>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7"/>
    </row>
    <row r="42" spans="1:98" ht="18" customHeight="1" x14ac:dyDescent="0.2">
      <c r="C42" s="589"/>
      <c r="D42" s="745"/>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c r="AV42" s="746"/>
      <c r="AW42" s="746"/>
      <c r="AX42" s="747"/>
    </row>
    <row r="43" spans="1:98" ht="18" customHeight="1" x14ac:dyDescent="0.2">
      <c r="C43" s="587"/>
      <c r="D43" s="765"/>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766"/>
      <c r="AR43" s="766"/>
      <c r="AS43" s="766"/>
      <c r="AT43" s="766"/>
      <c r="AU43" s="766"/>
      <c r="AV43" s="766"/>
      <c r="AW43" s="766"/>
      <c r="AX43" s="767"/>
    </row>
    <row r="44" spans="1:98" s="276" customFormat="1" ht="10.5" customHeight="1" x14ac:dyDescent="0.2">
      <c r="A44" s="479"/>
      <c r="B44" s="411"/>
      <c r="C44" s="424"/>
      <c r="D44" s="424"/>
      <c r="E44" s="189"/>
      <c r="F44" s="210"/>
      <c r="G44" s="210"/>
      <c r="H44" s="263"/>
      <c r="I44" s="264"/>
      <c r="J44" s="264"/>
      <c r="K44" s="264"/>
      <c r="L44" s="264"/>
      <c r="M44" s="264"/>
      <c r="N44" s="264"/>
      <c r="O44" s="264"/>
      <c r="P44" s="265"/>
      <c r="Q44" s="264"/>
      <c r="R44" s="265"/>
      <c r="S44" s="264"/>
      <c r="T44" s="265"/>
      <c r="U44" s="264"/>
      <c r="V44" s="265"/>
      <c r="W44" s="264"/>
      <c r="X44" s="263"/>
      <c r="Y44" s="264"/>
      <c r="Z44" s="263"/>
      <c r="AA44" s="264"/>
      <c r="AB44" s="263"/>
      <c r="AC44" s="264"/>
      <c r="AD44" s="263"/>
      <c r="AE44" s="264"/>
      <c r="AF44" s="263"/>
      <c r="AG44" s="480"/>
      <c r="AH44" s="263"/>
      <c r="AI44" s="264"/>
      <c r="AJ44" s="265"/>
      <c r="AK44" s="264"/>
      <c r="AL44" s="263"/>
      <c r="AM44" s="264"/>
      <c r="AN44" s="263"/>
      <c r="AO44" s="334"/>
      <c r="AP44" s="334"/>
      <c r="AQ44" s="334"/>
      <c r="AR44" s="334"/>
      <c r="AS44" s="334"/>
      <c r="AT44" s="329"/>
      <c r="AU44" s="334"/>
      <c r="AV44" s="329"/>
      <c r="AW44" s="334"/>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row>
    <row r="45" spans="1:98" x14ac:dyDescent="0.2">
      <c r="C45" s="627"/>
      <c r="D45" s="627"/>
      <c r="F45" s="210"/>
      <c r="G45" s="210"/>
    </row>
    <row r="46" spans="1:98" x14ac:dyDescent="0.2">
      <c r="C46" s="653"/>
      <c r="D46" s="653"/>
      <c r="E46" s="653"/>
      <c r="F46" s="653"/>
      <c r="G46" s="653"/>
      <c r="H46" s="654"/>
      <c r="I46" s="655"/>
      <c r="J46" s="655"/>
      <c r="K46" s="655"/>
      <c r="L46" s="655"/>
      <c r="M46" s="655"/>
      <c r="N46" s="655"/>
      <c r="O46" s="655"/>
      <c r="P46" s="656"/>
      <c r="Q46" s="655"/>
      <c r="R46" s="656"/>
      <c r="S46" s="655"/>
      <c r="T46" s="656"/>
      <c r="U46" s="655"/>
      <c r="V46" s="656"/>
      <c r="W46" s="655"/>
      <c r="X46" s="654"/>
      <c r="Y46" s="655"/>
      <c r="Z46" s="654"/>
      <c r="AA46" s="655"/>
      <c r="AB46" s="654"/>
      <c r="AC46" s="655"/>
      <c r="AD46" s="654"/>
      <c r="AE46" s="655"/>
      <c r="AF46" s="654"/>
      <c r="AG46" s="655"/>
      <c r="AH46" s="654"/>
    </row>
    <row r="47" spans="1:98" x14ac:dyDescent="0.2">
      <c r="C47" s="653"/>
      <c r="D47" s="653"/>
      <c r="E47" s="653"/>
      <c r="F47" s="653"/>
      <c r="G47" s="653"/>
      <c r="H47" s="654"/>
      <c r="I47" s="655"/>
      <c r="J47" s="655"/>
      <c r="K47" s="655"/>
      <c r="L47" s="655"/>
      <c r="M47" s="655"/>
      <c r="N47" s="655"/>
      <c r="O47" s="655"/>
      <c r="P47" s="656"/>
      <c r="Q47" s="655"/>
      <c r="R47" s="656"/>
      <c r="S47" s="655"/>
      <c r="T47" s="656"/>
      <c r="U47" s="655"/>
      <c r="V47" s="656"/>
      <c r="W47" s="655"/>
      <c r="X47" s="654"/>
      <c r="Y47" s="655"/>
      <c r="Z47" s="654"/>
      <c r="AA47" s="655"/>
      <c r="AB47" s="654"/>
      <c r="AC47" s="655"/>
      <c r="AD47" s="654"/>
      <c r="AE47" s="655"/>
      <c r="AF47" s="654"/>
      <c r="AG47" s="655"/>
      <c r="AH47" s="654"/>
    </row>
    <row r="48" spans="1:98" x14ac:dyDescent="0.2">
      <c r="C48" s="627"/>
      <c r="D48" s="627"/>
    </row>
    <row r="49" spans="3:4" x14ac:dyDescent="0.2">
      <c r="C49" s="627"/>
      <c r="D49" s="627"/>
    </row>
    <row r="50" spans="3:4" x14ac:dyDescent="0.2">
      <c r="C50" s="627"/>
      <c r="D50" s="627"/>
    </row>
    <row r="51" spans="3:4" x14ac:dyDescent="0.2">
      <c r="C51" s="627"/>
      <c r="D51" s="627"/>
    </row>
    <row r="52" spans="3:4" x14ac:dyDescent="0.2">
      <c r="C52" s="627"/>
      <c r="D52" s="627"/>
    </row>
    <row r="53" spans="3:4" x14ac:dyDescent="0.2">
      <c r="C53" s="627"/>
      <c r="D53" s="627"/>
    </row>
    <row r="54" spans="3:4" x14ac:dyDescent="0.2">
      <c r="C54" s="627"/>
      <c r="D54" s="627"/>
    </row>
    <row r="55" spans="3:4" x14ac:dyDescent="0.2">
      <c r="C55" s="627"/>
      <c r="D55" s="627"/>
    </row>
    <row r="56" spans="3:4" x14ac:dyDescent="0.2">
      <c r="C56" s="627"/>
      <c r="D56" s="627"/>
    </row>
    <row r="57" spans="3:4" x14ac:dyDescent="0.2">
      <c r="C57" s="627"/>
      <c r="D57" s="627"/>
    </row>
    <row r="58" spans="3:4" x14ac:dyDescent="0.2">
      <c r="C58" s="627"/>
      <c r="D58" s="627"/>
    </row>
    <row r="59" spans="3:4" x14ac:dyDescent="0.2">
      <c r="C59" s="627"/>
      <c r="D59" s="627"/>
    </row>
    <row r="60" spans="3:4" x14ac:dyDescent="0.2">
      <c r="C60" s="627"/>
      <c r="D60" s="627"/>
    </row>
    <row r="61" spans="3:4" x14ac:dyDescent="0.2">
      <c r="C61" s="627"/>
      <c r="D61" s="627"/>
    </row>
    <row r="62" spans="3:4" x14ac:dyDescent="0.2">
      <c r="C62" s="627"/>
      <c r="D62" s="627"/>
    </row>
    <row r="63" spans="3:4" x14ac:dyDescent="0.2">
      <c r="C63" s="627"/>
      <c r="D63" s="627"/>
    </row>
    <row r="64" spans="3:4" x14ac:dyDescent="0.2">
      <c r="C64" s="627"/>
      <c r="D64" s="627"/>
    </row>
    <row r="65" spans="3:4" x14ac:dyDescent="0.2">
      <c r="C65" s="627"/>
      <c r="D65" s="627"/>
    </row>
    <row r="66" spans="3:4" x14ac:dyDescent="0.2">
      <c r="C66" s="627"/>
      <c r="D66" s="627"/>
    </row>
    <row r="67" spans="3:4" x14ac:dyDescent="0.2">
      <c r="C67" s="627"/>
      <c r="D67" s="627"/>
    </row>
    <row r="68" spans="3:4" x14ac:dyDescent="0.2">
      <c r="C68" s="627"/>
      <c r="D68" s="627"/>
    </row>
    <row r="69" spans="3:4" x14ac:dyDescent="0.2">
      <c r="C69" s="627"/>
      <c r="D69" s="627"/>
    </row>
    <row r="70" spans="3:4" x14ac:dyDescent="0.2">
      <c r="C70" s="627"/>
      <c r="D70" s="627"/>
    </row>
    <row r="71" spans="3:4" x14ac:dyDescent="0.2">
      <c r="C71" s="627"/>
      <c r="D71" s="627"/>
    </row>
    <row r="72" spans="3:4" x14ac:dyDescent="0.2">
      <c r="C72" s="627"/>
      <c r="D72" s="627"/>
    </row>
    <row r="73" spans="3:4" x14ac:dyDescent="0.2">
      <c r="C73" s="627"/>
      <c r="D73" s="627"/>
    </row>
  </sheetData>
  <sheetProtection formatCells="0" formatColumns="0" formatRows="0" insertColumns="0" insertRows="0" insertHyperlinks="0"/>
  <mergeCells count="28">
    <mergeCell ref="D40:AX40"/>
    <mergeCell ref="D41:AX41"/>
    <mergeCell ref="D42:AX42"/>
    <mergeCell ref="D43:AX43"/>
    <mergeCell ref="D34:AX34"/>
    <mergeCell ref="D35:AX35"/>
    <mergeCell ref="D36:AX36"/>
    <mergeCell ref="D37:AX37"/>
    <mergeCell ref="D38:AX38"/>
    <mergeCell ref="D39:AX39"/>
    <mergeCell ref="D33:AX33"/>
    <mergeCell ref="D22:AX22"/>
    <mergeCell ref="D23:AX23"/>
    <mergeCell ref="D24:AX24"/>
    <mergeCell ref="D25:AX25"/>
    <mergeCell ref="D26:AX26"/>
    <mergeCell ref="D27:AX27"/>
    <mergeCell ref="D28:AX28"/>
    <mergeCell ref="D29:AX29"/>
    <mergeCell ref="D30:AX30"/>
    <mergeCell ref="D31:AX31"/>
    <mergeCell ref="D32:AX32"/>
    <mergeCell ref="D21:AX21"/>
    <mergeCell ref="C5:AN5"/>
    <mergeCell ref="D6:AH6"/>
    <mergeCell ref="D15:AX15"/>
    <mergeCell ref="D16:AX16"/>
    <mergeCell ref="D17:AX17"/>
  </mergeCells>
  <conditionalFormatting sqref="F12">
    <cfRule type="cellIs" dxfId="24" priority="25" stopIfTrue="1" operator="greaterThan">
      <formula>100-F9-F11+0.1</formula>
    </cfRule>
  </conditionalFormatting>
  <conditionalFormatting sqref="H12">
    <cfRule type="cellIs" dxfId="23" priority="24" stopIfTrue="1" operator="greaterThan">
      <formula>100-H9-H11+0.1</formula>
    </cfRule>
  </conditionalFormatting>
  <conditionalFormatting sqref="J12">
    <cfRule type="cellIs" dxfId="22" priority="23" stopIfTrue="1" operator="greaterThan">
      <formula>100-J9-J11+0.1</formula>
    </cfRule>
  </conditionalFormatting>
  <conditionalFormatting sqref="L12">
    <cfRule type="cellIs" dxfId="21" priority="22" stopIfTrue="1" operator="greaterThan">
      <formula>100-L9-L11+0.1</formula>
    </cfRule>
  </conditionalFormatting>
  <conditionalFormatting sqref="N12">
    <cfRule type="cellIs" dxfId="20" priority="21" stopIfTrue="1" operator="greaterThan">
      <formula>100-N9-N11+0.1</formula>
    </cfRule>
  </conditionalFormatting>
  <conditionalFormatting sqref="P12">
    <cfRule type="cellIs" dxfId="19" priority="20" stopIfTrue="1" operator="greaterThan">
      <formula>100-P9-P11+0.1</formula>
    </cfRule>
  </conditionalFormatting>
  <conditionalFormatting sqref="R12">
    <cfRule type="cellIs" dxfId="18" priority="19" stopIfTrue="1" operator="greaterThan">
      <formula>100-R9-R11+0.1</formula>
    </cfRule>
  </conditionalFormatting>
  <conditionalFormatting sqref="T12">
    <cfRule type="cellIs" dxfId="17" priority="18" stopIfTrue="1" operator="greaterThan">
      <formula>100-T9-T11+0.1</formula>
    </cfRule>
  </conditionalFormatting>
  <conditionalFormatting sqref="V12">
    <cfRule type="cellIs" dxfId="16" priority="17" stopIfTrue="1" operator="greaterThan">
      <formula>100-V9-V11+0.1</formula>
    </cfRule>
  </conditionalFormatting>
  <conditionalFormatting sqref="X12">
    <cfRule type="cellIs" dxfId="15" priority="16" stopIfTrue="1" operator="greaterThan">
      <formula>100-X9-X11+0.1</formula>
    </cfRule>
  </conditionalFormatting>
  <conditionalFormatting sqref="Z12">
    <cfRule type="cellIs" dxfId="14" priority="15" stopIfTrue="1" operator="greaterThan">
      <formula>100-Z9-Z11+0.1</formula>
    </cfRule>
  </conditionalFormatting>
  <conditionalFormatting sqref="AB12">
    <cfRule type="cellIs" dxfId="13" priority="14" stopIfTrue="1" operator="greaterThan">
      <formula>100-AB9-AB11+0.1</formula>
    </cfRule>
  </conditionalFormatting>
  <conditionalFormatting sqref="AD12">
    <cfRule type="cellIs" dxfId="12" priority="13" stopIfTrue="1" operator="greaterThan">
      <formula>100-AD9-AD11+0.1</formula>
    </cfRule>
  </conditionalFormatting>
  <conditionalFormatting sqref="AF12">
    <cfRule type="cellIs" dxfId="11" priority="12" stopIfTrue="1" operator="greaterThan">
      <formula>100-AF9-AF11+0.1</formula>
    </cfRule>
  </conditionalFormatting>
  <conditionalFormatting sqref="AH12">
    <cfRule type="cellIs" dxfId="10" priority="11" stopIfTrue="1" operator="greaterThan">
      <formula>100-AH9-AH11+0.1</formula>
    </cfRule>
  </conditionalFormatting>
  <conditionalFormatting sqref="AJ12">
    <cfRule type="cellIs" dxfId="9" priority="10" stopIfTrue="1" operator="greaterThan">
      <formula>100-AJ9-AJ11+0.1</formula>
    </cfRule>
  </conditionalFormatting>
  <conditionalFormatting sqref="AL12">
    <cfRule type="cellIs" dxfId="8" priority="9" stopIfTrue="1" operator="greaterThan">
      <formula>100-AL9-AL11+0.1</formula>
    </cfRule>
  </conditionalFormatting>
  <conditionalFormatting sqref="AN12">
    <cfRule type="cellIs" dxfId="7" priority="8" stopIfTrue="1" operator="greaterThan">
      <formula>100-AN9-AN11+0.1</formula>
    </cfRule>
  </conditionalFormatting>
  <conditionalFormatting sqref="AP12">
    <cfRule type="cellIs" dxfId="6" priority="7" stopIfTrue="1" operator="greaterThan">
      <formula>100-AP9-AP11+0.1</formula>
    </cfRule>
  </conditionalFormatting>
  <conditionalFormatting sqref="AR12">
    <cfRule type="cellIs" dxfId="5" priority="6" stopIfTrue="1" operator="greaterThan">
      <formula>100-AR9-AR11+0.1</formula>
    </cfRule>
  </conditionalFormatting>
  <conditionalFormatting sqref="AT12">
    <cfRule type="cellIs" dxfId="4" priority="5" stopIfTrue="1" operator="greaterThan">
      <formula>100-AT9-AT11+0.1</formula>
    </cfRule>
  </conditionalFormatting>
  <conditionalFormatting sqref="AV12">
    <cfRule type="cellIs" dxfId="3" priority="4" stopIfTrue="1" operator="greaterThan">
      <formula>100-AV9-AV11+0.1</formula>
    </cfRule>
  </conditionalFormatting>
  <conditionalFormatting sqref="BY20 BW20 BU20 BS20 CI20 CK20 CM20 CG20 CC20 CA20 BC20 CS20 CO20 CQ20">
    <cfRule type="cellIs" dxfId="2" priority="3" stopIfTrue="1" operator="lessThan">
      <formula>BC21</formula>
    </cfRule>
  </conditionalFormatting>
  <conditionalFormatting sqref="CS18 CM21 CS21 CM23 BC23 BC21 BC18 BE18 BE23 BE21 BM21 BM18 BM23 BO23 BO21 BO18 BQ18 BQ23 BQ21 BS21 BS18 BS23 BU23 BU21 BU18 BW18 BW23 BW21 CQ18 CQ23 CS23 CQ21 CO18 CO21 CO23 CK21 CK18 CM18 CI21 CI23 CK23 CG21 CG18 CI18 CE21 CE23 CG23 CC21 CC18 CE18 CA21 CA23 CC23 BY23 BY21 BY18 CA18 BG21 BI21 BK21 BG18 BI18 BK18 BG23 BI23 BK23">
    <cfRule type="cellIs" dxfId="1" priority="2" stopIfTrue="1" operator="equal">
      <formula>"&lt;&gt;"</formula>
    </cfRule>
  </conditionalFormatting>
  <conditionalFormatting sqref="BO8:BO12 BQ8:BQ12 BS8:BS12 BU8:BU12 BW8:BW12 CS8:CS12 CQ8:CQ12 CO8:CO12 CM8:CM12 CK8:CK12 CI8:CI12 CG8:CG12 CE8:CE12 CC8:CC12 BY8:BY12 CA8:CA12 BG8:BG12 BI8:BI12 BK8:BK12 BM8:BM12 BE8:BE12">
    <cfRule type="cellIs" dxfId="0" priority="1" stopIfTrue="1" operator="equal">
      <formula>"&gt; 25%"</formula>
    </cfRule>
  </conditionalFormatting>
  <printOptions horizontalCentered="1"/>
  <pageMargins left="0.56000000000000005" right="0.4" top="0.65" bottom="0.984251969" header="0.43" footer="0.5"/>
  <pageSetup paperSize="9" scale="80" fitToHeight="2" orientation="landscape" r:id="rId1"/>
  <headerFooter alignWithMargins="0">
    <oddFooter>&amp;C&amp;"Arial,Normal"&amp;8Questionnaire UNSD/PNUE 2013 sur les Statistiques de l'environnement - Section d'eau - p.&amp;P</oddFooter>
  </headerFooter>
  <rowBreaks count="1" manualBreakCount="1">
    <brk id="18"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Table des matières</vt:lpstr>
      <vt:lpstr>Recommandations</vt:lpstr>
      <vt:lpstr>Définitions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Définitions!Print_Area</vt:lpstr>
      <vt:lpstr>Diagram!Print_Area</vt:lpstr>
      <vt:lpstr>'W1'!Print_Area</vt:lpstr>
      <vt:lpstr>'W2'!Print_Area</vt:lpstr>
      <vt:lpstr>'W3'!Print_Area</vt:lpstr>
      <vt:lpstr>'W4'!Print_Area</vt:lpstr>
      <vt:lpstr>'W5'!Print_Area</vt:lpstr>
      <vt:lpstr>'W6'!Print_Area</vt:lpstr>
      <vt:lpstr>Définitions!Print_Titles</vt:lpstr>
      <vt:lpstr>Diagram!Print_Titles</vt:lpstr>
      <vt:lpstr>Recommandations!Print_Titles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David Rausis</cp:lastModifiedBy>
  <cp:lastPrinted>2017-04-26T11:01:05Z</cp:lastPrinted>
  <dcterms:created xsi:type="dcterms:W3CDTF">2001-01-18T18:38:40Z</dcterms:created>
  <dcterms:modified xsi:type="dcterms:W3CDTF">2017-08-11T20:19:19Z</dcterms:modified>
</cp:coreProperties>
</file>