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TPLTF" sheetId="1" r:id="rId1"/>
    <sheet name="GRAPH2" sheetId="2" r:id="rId2"/>
    <sheet name="GRAPH1" sheetId="3" r:id="rId3"/>
  </sheets>
  <definedNames>
    <definedName name="\d">'INTPLTF'!#REF!</definedName>
    <definedName name="\g">'INTPLTF'!#REF!</definedName>
    <definedName name="\h">'INTPLTF'!#REF!</definedName>
    <definedName name="\m">'INTPLTF'!#REF!</definedName>
    <definedName name="\s">'INTPLTF'!#REF!</definedName>
    <definedName name="__123Graph_A" hidden="1">'INTPLTF'!$D$413:$D$434</definedName>
    <definedName name="__123Graph_AGRAPH1" hidden="1">'INTPLTF'!$D$413:$D$434</definedName>
    <definedName name="__123Graph_AGRAPH2" hidden="1">'INTPLTF'!$G$413:$G$434</definedName>
    <definedName name="__123Graph_B" hidden="1">'INTPLTF'!$E$413:$E$434</definedName>
    <definedName name="__123Graph_BGRAPH1" hidden="1">'INTPLTF'!$E$413:$E$434</definedName>
    <definedName name="__123Graph_C" hidden="1">'INTPLTF'!$F$413:$F$434</definedName>
    <definedName name="__123Graph_CGRAPH1" hidden="1">'INTPLTF'!$F$413:$F$434</definedName>
    <definedName name="__123Graph_LBL_A" hidden="1">'INTPLTF'!$F$164:$F$164</definedName>
    <definedName name="__123Graph_LBL_AGRAPH1" hidden="1">'INTPLTF'!$F$164:$F$164</definedName>
    <definedName name="__123Graph_LBL_AGRAPH2" hidden="1">'INTPLTF'!$H$404:$H$404</definedName>
    <definedName name="__123Graph_X" hidden="1">'INTPLTF'!$A$231:$A$252</definedName>
    <definedName name="__123Graph_XGRAPH1" hidden="1">'INTPLTF'!$A$231:$A$252</definedName>
    <definedName name="__123Graph_XGRAPH2" hidden="1">'INTPLTF'!$A$413:$A$434</definedName>
    <definedName name="_Fill" hidden="1">'INTPLTF'!$A$274:$A$281</definedName>
    <definedName name="_Regression_Int" localSheetId="0" hidden="1">1</definedName>
    <definedName name="CHKPAS">'INTPLTF'!#REF!</definedName>
    <definedName name="CHKSAVE">'INTPLTF'!#REF!</definedName>
    <definedName name="DOC">'INTPLTF'!$A$104:$H$203</definedName>
    <definedName name="ERR_LOC">'INTPLTF'!#REF!</definedName>
    <definedName name="ERR_MSG">'INTPLTF'!#REF!</definedName>
    <definedName name="FILENAME">'INTPLTF'!#REF!</definedName>
    <definedName name="FLOPDIR">'INTPLTF'!#REF!</definedName>
    <definedName name="FLOPPY">'INTPLTF'!#REF!</definedName>
    <definedName name="GETFILE">'INTPLTF'!#REF!</definedName>
    <definedName name="GRDIR">'INTPLTF'!#REF!</definedName>
    <definedName name="HELP">'INTPLTF'!$A$184:$H$203</definedName>
    <definedName name="MESSAGE">'INTPLTF'!#REF!</definedName>
    <definedName name="MSG_CELL">'INTPLTF'!#REF!</definedName>
    <definedName name="NOPAS">'INTPLTF'!#REF!</definedName>
    <definedName name="NOPAS3">'INTPLTF'!#REF!</definedName>
    <definedName name="OLD_MSG">'INTPLTF'!#REF!</definedName>
    <definedName name="PAS_MSG1">'INTPLTF'!#REF!</definedName>
    <definedName name="PAS_MSG2">'INTPLTF'!#REF!</definedName>
    <definedName name="PAS_MSG3">'INTPLTF'!#REF!</definedName>
    <definedName name="PAUSE">'INTPLTF'!#REF!</definedName>
    <definedName name="PRINT">'INTPLTF'!$A$4:$L$96</definedName>
    <definedName name="_xlnm.Print_Area" localSheetId="0">'INTPLTF'!$A$4:$L$95</definedName>
    <definedName name="Print_Area_MI" localSheetId="0">'INTPLTF'!$A$4:$L$96</definedName>
    <definedName name="_xlnm.Print_Titles" localSheetId="0">'INTPLTF'!$1:$3</definedName>
    <definedName name="Print_Titles_MI" localSheetId="0">'INTPLTF'!$1:$3</definedName>
    <definedName name="RESDIR">'INTPLTF'!#REF!</definedName>
    <definedName name="RESTYPE">'INTPLTF'!#REF!</definedName>
    <definedName name="RSVMENU">'INTPLTF'!#REF!</definedName>
    <definedName name="SAVE">'INTPLTF'!#REF!</definedName>
    <definedName name="SAVE_MSG">'INTPLTF'!#REF!</definedName>
    <definedName name="SAVED">'INTPLTF'!#REF!</definedName>
    <definedName name="SAVENGO">'INTPLTF'!#REF!</definedName>
    <definedName name="TEMP">'INTPLTF'!#REF!</definedName>
  </definedNames>
  <calcPr fullCalcOnLoad="1" iterate="1" iterateCount="20" iterateDelta="0.001"/>
</workbook>
</file>

<file path=xl/sharedStrings.xml><?xml version="1.0" encoding="utf-8"?>
<sst xmlns="http://schemas.openxmlformats.org/spreadsheetml/2006/main" count="443" uniqueCount="162">
  <si>
    <t>Table</t>
  </si>
  <si>
    <t>COUNTRY: YEAR</t>
  </si>
  <si>
    <t>Female Life Table Interpolation</t>
  </si>
  <si>
    <t>A.  Life Table Control Parameters</t>
  </si>
  <si>
    <t>-</t>
  </si>
  <si>
    <t>Function</t>
  </si>
  <si>
    <t>Life</t>
  </si>
  <si>
    <t>Desired</t>
  </si>
  <si>
    <t>and</t>
  </si>
  <si>
    <t>Width</t>
  </si>
  <si>
    <t>table</t>
  </si>
  <si>
    <t>life</t>
  </si>
  <si>
    <t>age, x</t>
  </si>
  <si>
    <t>n</t>
  </si>
  <si>
    <t>LIFE EXPECTANCY, ex</t>
  </si>
  <si>
    <t>SEPARATION FACTORS, nax</t>
  </si>
  <si>
    <t>PROBABILITY OF DYING, nqx</t>
  </si>
  <si>
    <t>0</t>
  </si>
  <si>
    <t>1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</si>
  <si>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</si>
  <si>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</si>
  <si>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</si>
  <si>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</si>
  <si>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</si>
  <si>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</si>
  <si>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</si>
  <si>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</si>
  <si>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</si>
  <si>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</si>
  <si>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</si>
  <si>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</si>
  <si>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Sources:</t>
  </si>
  <si>
    <t>[FILENAME]  [DISK NAME]  [DATE]  [INITIALS]</t>
  </si>
  <si>
    <t>B.  Interpolated Abridged Life Table</t>
  </si>
  <si>
    <t>Age,</t>
  </si>
  <si>
    <t>Width,</t>
  </si>
  <si>
    <t xml:space="preserve"> x</t>
  </si>
  <si>
    <t>nMx</t>
  </si>
  <si>
    <t xml:space="preserve">    nax</t>
  </si>
  <si>
    <t>nqx</t>
  </si>
  <si>
    <t xml:space="preserve"> lx</t>
  </si>
  <si>
    <t>ndx</t>
  </si>
  <si>
    <t>nLx</t>
  </si>
  <si>
    <t>5Px</t>
  </si>
  <si>
    <t xml:space="preserve"> Tx</t>
  </si>
  <si>
    <t xml:space="preserve"> ex</t>
  </si>
  <si>
    <t>nMx = Age-specific central death rate.</t>
  </si>
  <si>
    <t>nax = Average person-years lived by those who die between ages x</t>
  </si>
  <si>
    <t xml:space="preserve">      and x+n.</t>
  </si>
  <si>
    <t>nqx = Probability of dying between exact ages x and x+n</t>
  </si>
  <si>
    <t xml:space="preserve">      (age-specific mortality rate).</t>
  </si>
  <si>
    <t xml:space="preserve"> lx = Number of survivors at age x.</t>
  </si>
  <si>
    <t>ndx = Number of deaths occurring between ages x and x+n.</t>
  </si>
  <si>
    <t>nLx = Number of person-years lived between ages x and x+n.</t>
  </si>
  <si>
    <t>5Px = Survival ratio for persons aged x to x+5 surviving 5 years to</t>
  </si>
  <si>
    <t xml:space="preserve">      ages x+5 to x+10 = 5Lx+5/5Lx (first 5Px = 5L0/5l0, </t>
  </si>
  <si>
    <t xml:space="preserve">      second 5Px= 5L5/5L0, last 5Px = Tx+5/Tx).</t>
  </si>
  <si>
    <t xml:space="preserve"> Tx = Number of person-years lived after age x.</t>
  </si>
  <si>
    <t xml:space="preserve"> ex = Life expectancy at age x.</t>
  </si>
  <si>
    <t>U.S. BUREAU OF THE CENSUS      INTERNATIONAL PROGRAMS CENTER</t>
  </si>
  <si>
    <t>POPULATION ANALYSIS SPREADSHEETS (PAS)</t>
  </si>
  <si>
    <t>DOCUMENTATION:  INTPLTF</t>
  </si>
  <si>
    <t>**** D E S C R I P T I O N ****</t>
  </si>
  <si>
    <t xml:space="preserve">This spreadsheet computes a female life table by interpolating the </t>
  </si>
  <si>
    <t>logarithms of the probabilities of dying (nqx) from two life tables</t>
  </si>
  <si>
    <t>to obtain a desired level of life expectancy.</t>
  </si>
  <si>
    <t>PRESS PgDn FOR FURTHER INSTRUCTIONS</t>
  </si>
  <si>
    <t>**** I N P U T ****</t>
  </si>
  <si>
    <t>CELL</t>
  </si>
  <si>
    <t>ITEM</t>
  </si>
  <si>
    <t>----------</t>
  </si>
  <si>
    <t>A1</t>
  </si>
  <si>
    <t>Table number.  Type both "Table" and the number.</t>
  </si>
  <si>
    <t>A2</t>
  </si>
  <si>
    <t xml:space="preserve">Country name and year (e.g. Burundi:  1975).  </t>
  </si>
  <si>
    <t xml:space="preserve"> Type over "COUNTRY:  YEAR".</t>
  </si>
  <si>
    <t>D12</t>
  </si>
  <si>
    <t>Life expectancy at birth for life table 1.</t>
  </si>
  <si>
    <t>E12</t>
  </si>
  <si>
    <t>Life expectancy at birth for life table 2.</t>
  </si>
  <si>
    <t>F12</t>
  </si>
  <si>
    <t>Life expectancy at birth for desired life table.</t>
  </si>
  <si>
    <t>A13</t>
  </si>
  <si>
    <t>Lower limit of open-ended age group.</t>
  </si>
  <si>
    <t>D13</t>
  </si>
  <si>
    <t>Life expectancy for the open-ended age group, life table 1.</t>
  </si>
  <si>
    <t>E13</t>
  </si>
  <si>
    <t>Life expectancy for the open-ended age group, life table 2.</t>
  </si>
  <si>
    <t>D17</t>
  </si>
  <si>
    <t>Separation factor for age under 1, life table 1.</t>
  </si>
  <si>
    <t>E17</t>
  </si>
  <si>
    <t>Separation factor for age under 1, life table 2.</t>
  </si>
  <si>
    <t>**** I N P U T (continued) ****</t>
  </si>
  <si>
    <t>---------</t>
  </si>
  <si>
    <t>D18</t>
  </si>
  <si>
    <t>Separation factor for ages 1-4, life table 1.</t>
  </si>
  <si>
    <t>E18</t>
  </si>
  <si>
    <t>Separation factor for ages 1-4, life table 2.</t>
  </si>
  <si>
    <t>D22-D43</t>
  </si>
  <si>
    <t>* Probabilities of dying by age (nqx) for life table 1.</t>
  </si>
  <si>
    <t>E22-E43</t>
  </si>
  <si>
    <t>* Probabilities of dying by age (nqx) for life table 2.</t>
  </si>
  <si>
    <t>*</t>
  </si>
  <si>
    <t>Enter the nqx values up to the open-ended age group</t>
  </si>
  <si>
    <t>(where nqx=1.0).  The open-ended age group must be in</t>
  </si>
  <si>
    <t>the range 65+ to 100+.  Enter 0 for age groups after the</t>
  </si>
  <si>
    <t>open-ended age group.</t>
  </si>
  <si>
    <t>A45-H52</t>
  </si>
  <si>
    <t>Sources of the input data.</t>
  </si>
  <si>
    <t>A53</t>
  </si>
  <si>
    <t xml:space="preserve">Filename, disk name, date, and initials.  Type all of these </t>
  </si>
  <si>
    <t xml:space="preserve"> into the same cell.</t>
  </si>
  <si>
    <t>**** R E S U L T S ****</t>
  </si>
  <si>
    <t xml:space="preserve"> </t>
  </si>
  <si>
    <t>A55-L96</t>
  </si>
  <si>
    <t>Interpolated abridged life table.</t>
  </si>
  <si>
    <t>**** G R A P H S ****</t>
  </si>
  <si>
    <t>NAME</t>
  </si>
  <si>
    <t>------</t>
  </si>
  <si>
    <t>GRAPH1</t>
  </si>
  <si>
    <t>Female probability of dying (nqx).</t>
  </si>
  <si>
    <t>GRAPH2</t>
  </si>
  <si>
    <t>Female age-specific central death rates (nmx).</t>
  </si>
  <si>
    <t>PRESS PgDn FOR HELP SCREEN</t>
  </si>
  <si>
    <t>INTERMEDIATE CALCULATIONS</t>
  </si>
  <si>
    <t>Flags for Determining Open-Ended Age Group</t>
  </si>
  <si>
    <t xml:space="preserve">Age </t>
  </si>
  <si>
    <t>Age</t>
  </si>
  <si>
    <t>flag</t>
  </si>
  <si>
    <t>65</t>
  </si>
  <si>
    <t>70</t>
  </si>
  <si>
    <t>75</t>
  </si>
  <si>
    <t>80</t>
  </si>
  <si>
    <t>85</t>
  </si>
  <si>
    <t>90</t>
  </si>
  <si>
    <t>95</t>
  </si>
  <si>
    <t>100</t>
  </si>
  <si>
    <t>Logs of Input Age-Specific Mortality Rates</t>
  </si>
  <si>
    <t>x</t>
  </si>
  <si>
    <t>L.T. 1</t>
  </si>
  <si>
    <t>L.T. 2</t>
  </si>
  <si>
    <t>First Estimated Life Table</t>
  </si>
  <si>
    <t>Item/age</t>
  </si>
  <si>
    <t>lx</t>
  </si>
  <si>
    <t>nax</t>
  </si>
  <si>
    <t>Factor</t>
  </si>
  <si>
    <t>T0</t>
  </si>
  <si>
    <t>e0</t>
  </si>
  <si>
    <t>quadratic constants</t>
  </si>
  <si>
    <t>a2</t>
  </si>
  <si>
    <t>a1</t>
  </si>
  <si>
    <t>a0</t>
  </si>
  <si>
    <t>Second Estimated Life Table</t>
  </si>
  <si>
    <t>Third Estimated Life Table</t>
  </si>
  <si>
    <t>new factors</t>
  </si>
  <si>
    <t>Final Estimated Life Table</t>
  </si>
  <si>
    <t>Data for Graphs</t>
  </si>
  <si>
    <t>--------Log10(nqx)----------</t>
  </si>
  <si>
    <t>min</t>
  </si>
  <si>
    <t>Final</t>
  </si>
  <si>
    <t>Log10(nMx)</t>
  </si>
  <si>
    <t>graph minimums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</si>
</sst>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_)"/>
    <numFmt numFmtId="167" formatCode="0.00000_)"/>
    <numFmt numFmtId="168" formatCode="0.0000_)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Courier"/>
      <family val="0"/>
    </font>
    <font>
      <sz val="8"/>
      <color indexed="12"/>
      <name val="Courier New"/>
      <family val="3"/>
    </font>
    <font>
      <sz val="8"/>
      <name val="Courier New"/>
      <family val="3"/>
    </font>
    <font>
      <sz val="14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164" fontId="0" fillId="0" borderId="0" xfId="0" applyAlignment="1">
      <alignment/>
    </xf>
    <xf numFmtId="164" fontId="6" fillId="0" borderId="0" xfId="0" applyFont="1" applyAlignment="1" applyProtection="1">
      <alignment horizontal="left"/>
      <protection locked="0"/>
    </xf>
    <xf numFmtId="164" fontId="7" fillId="0" borderId="0" xfId="0" applyFont="1" applyAlignment="1">
      <alignment/>
    </xf>
    <xf numFmtId="164" fontId="7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horizontal="fill"/>
      <protection/>
    </xf>
    <xf numFmtId="164" fontId="7" fillId="0" borderId="0" xfId="0" applyFont="1" applyAlignment="1" applyProtection="1">
      <alignment horizontal="right"/>
      <protection/>
    </xf>
    <xf numFmtId="164" fontId="7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7" fontId="6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left"/>
      <protection/>
    </xf>
    <xf numFmtId="164" fontId="5" fillId="0" borderId="0" xfId="0" applyFont="1" applyAlignment="1" applyProtection="1">
      <alignment horizontal="right"/>
      <protection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INTPLTF!$A$2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title>
    <c:plotArea>
      <c:layout>
        <c:manualLayout>
          <c:xMode val="edge"/>
          <c:yMode val="edge"/>
          <c:x val="0.0415"/>
          <c:y val="0.25475"/>
          <c:w val="0.94725"/>
          <c:h val="0.6315"/>
        </c:manualLayout>
      </c:layout>
      <c:scatterChart>
        <c:scatterStyle val="lineMarker"/>
        <c:varyColors val="0"/>
        <c:ser>
          <c:idx val="0"/>
          <c:order val="0"/>
          <c:tx>
            <c:v>Interpolated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INTPLTF!$H$404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INTPLTF!$A$413:$A$434</c:f>
              <c:numCach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xVal>
          <c:yVal>
            <c:numRef>
              <c:f>INTPLTF!$G$413:$G$434</c:f>
              <c:numCache>
                <c:ptCount val="22"/>
                <c:pt idx="0">
                  <c:v>0.009766910529649788</c:v>
                </c:pt>
                <c:pt idx="1">
                  <c:v>0.0004147549052313983</c:v>
                </c:pt>
                <c:pt idx="2">
                  <c:v>0.0002128923980860194</c:v>
                </c:pt>
                <c:pt idx="3">
                  <c:v>0.00018791036947293267</c:v>
                </c:pt>
                <c:pt idx="4">
                  <c:v>0.0007351302202950171</c:v>
                </c:pt>
                <c:pt idx="5">
                  <c:v>0.0010692528647515901</c:v>
                </c:pt>
                <c:pt idx="6">
                  <c:v>0.0010070006219685555</c:v>
                </c:pt>
                <c:pt idx="7">
                  <c:v>0.0011243962199700389</c:v>
                </c:pt>
                <c:pt idx="8">
                  <c:v>0.001538969921783216</c:v>
                </c:pt>
                <c:pt idx="9">
                  <c:v>0.0023584415399718053</c:v>
                </c:pt>
                <c:pt idx="10">
                  <c:v>0.003944115025911541</c:v>
                </c:pt>
                <c:pt idx="11">
                  <c:v>0.006446250743030276</c:v>
                </c:pt>
                <c:pt idx="12">
                  <c:v>0.009982655673297121</c:v>
                </c:pt>
                <c:pt idx="13">
                  <c:v>0.015348668702860115</c:v>
                </c:pt>
                <c:pt idx="14">
                  <c:v>0.0236837934238856</c:v>
                </c:pt>
                <c:pt idx="15">
                  <c:v>0.03668630702187816</c:v>
                </c:pt>
                <c:pt idx="16">
                  <c:v>0.05612562160684396</c:v>
                </c:pt>
                <c:pt idx="17">
                  <c:v>0.1198725736101976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axId val="30804774"/>
        <c:axId val="8807511"/>
      </c:scatterChart>
      <c:valAx>
        <c:axId val="308047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8807511"/>
        <c:crosses val="autoZero"/>
        <c:crossBetween val="midCat"/>
        <c:dispUnits/>
      </c:valAx>
      <c:valAx>
        <c:axId val="8807511"/>
        <c:scaling>
          <c:logBase val="10"/>
          <c:orientation val="minMax"/>
          <c:min val="0.0001"/>
        </c:scaling>
        <c:axPos val="l"/>
        <c:majorGridlines/>
        <c:delete val="0"/>
        <c:numFmt formatCode="0.00000_)" sourceLinked="0"/>
        <c:majorTickMark val="out"/>
        <c:minorTickMark val="none"/>
        <c:tickLblPos val="nextTo"/>
        <c:crossAx val="308047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INTPLTF!$A$2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title>
    <c:plotArea>
      <c:layout>
        <c:manualLayout>
          <c:xMode val="edge"/>
          <c:yMode val="edge"/>
          <c:x val="0.03525"/>
          <c:y val="0.25475"/>
          <c:w val="0.9535"/>
          <c:h val="0.63225"/>
        </c:manualLayout>
      </c:layout>
      <c:scatterChart>
        <c:scatterStyle val="lineMarker"/>
        <c:varyColors val="0"/>
        <c:ser>
          <c:idx val="0"/>
          <c:order val="0"/>
          <c:tx>
            <c:v>Life table 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INTPLTF!$F$164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INTPLTF!$A$413:$A$434</c:f>
              <c:numCach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xVal>
          <c:yVal>
            <c:numRef>
              <c:f>INTPLTF!$D$413:$D$434</c:f>
              <c:numCache>
                <c:ptCount val="22"/>
                <c:pt idx="0">
                  <c:v>0.014</c:v>
                </c:pt>
                <c:pt idx="1">
                  <c:v>0.0029</c:v>
                </c:pt>
                <c:pt idx="2">
                  <c:v>0.0018</c:v>
                </c:pt>
                <c:pt idx="3">
                  <c:v>0.0019</c:v>
                </c:pt>
                <c:pt idx="4">
                  <c:v>0.0071</c:v>
                </c:pt>
                <c:pt idx="5">
                  <c:v>0.0101</c:v>
                </c:pt>
                <c:pt idx="6">
                  <c:v>0.0098</c:v>
                </c:pt>
                <c:pt idx="7">
                  <c:v>0.0098</c:v>
                </c:pt>
                <c:pt idx="8">
                  <c:v>0.0122</c:v>
                </c:pt>
                <c:pt idx="9">
                  <c:v>0.018</c:v>
                </c:pt>
                <c:pt idx="10">
                  <c:v>0.0288</c:v>
                </c:pt>
                <c:pt idx="11">
                  <c:v>0.0462</c:v>
                </c:pt>
                <c:pt idx="12">
                  <c:v>0.0707</c:v>
                </c:pt>
                <c:pt idx="13">
                  <c:v>0.1061</c:v>
                </c:pt>
                <c:pt idx="14">
                  <c:v>0.1571</c:v>
                </c:pt>
                <c:pt idx="15">
                  <c:v>0.2259</c:v>
                </c:pt>
                <c:pt idx="16">
                  <c:v>0.3149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Life table 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INTPLTF!$A$413:$A$434</c:f>
              <c:numCach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xVal>
          <c:yVal>
            <c:numRef>
              <c:f>INTPLTF!$E$413:$E$434</c:f>
              <c:numCache>
                <c:ptCount val="22"/>
                <c:pt idx="0">
                  <c:v>0.003</c:v>
                </c:pt>
                <c:pt idx="1">
                  <c:v>0.00028</c:v>
                </c:pt>
                <c:pt idx="2">
                  <c:v>0.0002</c:v>
                </c:pt>
                <c:pt idx="3">
                  <c:v>0.0001</c:v>
                </c:pt>
                <c:pt idx="4">
                  <c:v>0.00045</c:v>
                </c:pt>
                <c:pt idx="5">
                  <c:v>0.0007</c:v>
                </c:pt>
                <c:pt idx="6">
                  <c:v>0.0006</c:v>
                </c:pt>
                <c:pt idx="7">
                  <c:v>0.00095</c:v>
                </c:pt>
                <c:pt idx="8">
                  <c:v>0.00175</c:v>
                </c:pt>
                <c:pt idx="9">
                  <c:v>0.003</c:v>
                </c:pt>
                <c:pt idx="10">
                  <c:v>0.00568</c:v>
                </c:pt>
                <c:pt idx="11">
                  <c:v>0.0096</c:v>
                </c:pt>
                <c:pt idx="12">
                  <c:v>0.01489</c:v>
                </c:pt>
                <c:pt idx="13">
                  <c:v>0.02342</c:v>
                </c:pt>
                <c:pt idx="14">
                  <c:v>0.03792</c:v>
                </c:pt>
                <c:pt idx="15">
                  <c:v>0.06558</c:v>
                </c:pt>
                <c:pt idx="16">
                  <c:v>0.11241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Interpolated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INTPLTF!$A$413:$A$434</c:f>
              <c:numCache>
                <c:ptCount val="22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xVal>
          <c:yVal>
            <c:numRef>
              <c:f>INTPLTF!$F$413:$F$434</c:f>
              <c:numCache>
                <c:ptCount val="22"/>
                <c:pt idx="0">
                  <c:v>0.009683189907944275</c:v>
                </c:pt>
                <c:pt idx="1">
                  <c:v>0.0016573964081442074</c:v>
                </c:pt>
                <c:pt idx="2">
                  <c:v>0.001063895752135133</c:v>
                </c:pt>
                <c:pt idx="3">
                  <c:v>0.000939110675779509</c:v>
                </c:pt>
                <c:pt idx="4">
                  <c:v>0.0036689082880799395</c:v>
                </c:pt>
                <c:pt idx="5">
                  <c:v>0.005332011153256683</c:v>
                </c:pt>
                <c:pt idx="6">
                  <c:v>0.0050223593124642755</c:v>
                </c:pt>
                <c:pt idx="7">
                  <c:v>0.005606222062611412</c:v>
                </c:pt>
                <c:pt idx="8">
                  <c:v>0.007665357721483401</c:v>
                </c:pt>
                <c:pt idx="9">
                  <c:v>0.011723087160518833</c:v>
                </c:pt>
                <c:pt idx="10">
                  <c:v>0.019528023205182928</c:v>
                </c:pt>
                <c:pt idx="11">
                  <c:v>0.03172006498397164</c:v>
                </c:pt>
                <c:pt idx="12">
                  <c:v>0.04869794141365824</c:v>
                </c:pt>
                <c:pt idx="13">
                  <c:v>0.0739073932789732</c:v>
                </c:pt>
                <c:pt idx="14">
                  <c:v>0.11179938336791903</c:v>
                </c:pt>
                <c:pt idx="15">
                  <c:v>0.16802132987439958</c:v>
                </c:pt>
                <c:pt idx="16">
                  <c:v>0.24609721071631122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yVal>
          <c:smooth val="0"/>
        </c:ser>
        <c:axId val="12158736"/>
        <c:axId val="42319761"/>
      </c:scatterChart>
      <c:valAx>
        <c:axId val="1215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42319761"/>
        <c:crosses val="autoZero"/>
        <c:crossBetween val="midCat"/>
        <c:dispUnits/>
      </c:valAx>
      <c:valAx>
        <c:axId val="42319761"/>
        <c:scaling>
          <c:logBase val="10"/>
          <c:orientation val="minMax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nqx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_)" sourceLinked="0"/>
        <c:majorTickMark val="out"/>
        <c:minorTickMark val="none"/>
        <c:tickLblPos val="nextTo"/>
        <c:crossAx val="121587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0.1385</cdr:x>
      <cdr:y>0.122</cdr:y>
    </cdr:from>
    <cdr:to>
      <cdr:x>0.58575</cdr:x>
      <cdr:y>0.17275</cdr:y>
    </cdr:to>
    <cdr:sp>
      <cdr:nvSpPr>
        <cdr:cNvPr id="1" name="Text 1"/>
        <cdr:cNvSpPr txBox="1">
          <a:spLocks noChangeArrowheads="1"/>
        </cdr:cNvSpPr>
      </cdr:nvSpPr>
      <cdr:spPr>
        <a:xfrm>
          <a:off x="1295400" y="628650"/>
          <a:ext cx="42005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2 Female Age-Specific Cen. Death Rates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172075"/>
    <xdr:graphicFrame>
      <xdr:nvGraphicFramePr>
        <xdr:cNvPr id="1" name="Shape 1025"/>
        <xdr:cNvGraphicFramePr/>
      </xdr:nvGraphicFramePr>
      <xdr:xfrm>
        <a:off x="0" y="0"/>
        <a:ext cx="9382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0.122</cdr:y>
    </cdr:from>
    <cdr:to>
      <cdr:x>0.574</cdr:x>
      <cdr:y>0.17275</cdr:y>
    </cdr:to>
    <cdr:sp>
      <cdr:nvSpPr>
        <cdr:cNvPr id="1" name="Text 1"/>
        <cdr:cNvSpPr txBox="1">
          <a:spLocks noChangeArrowheads="1"/>
        </cdr:cNvSpPr>
      </cdr:nvSpPr>
      <cdr:spPr>
        <a:xfrm>
          <a:off x="1409700" y="628650"/>
          <a:ext cx="3971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1. Female Probability of Dying (nqx)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172075"/>
    <xdr:graphicFrame>
      <xdr:nvGraphicFramePr>
        <xdr:cNvPr id="1" name="Shape 1025"/>
        <xdr:cNvGraphicFramePr/>
      </xdr:nvGraphicFramePr>
      <xdr:xfrm>
        <a:off x="0" y="0"/>
        <a:ext cx="9382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L436"/>
  <sheetViews>
    <sheetView showGridLines="0" tabSelected="1" workbookViewId="0" topLeftCell="A104">
      <selection activeCell="A104" sqref="A104"/>
    </sheetView>
  </sheetViews>
  <sheetFormatPr defaultColWidth="10.875" defaultRowHeight="12.75"/>
  <cols>
    <col min="1" max="1" width="4.625" style="2" customWidth="1"/>
    <col min="2" max="2" width="3.625" style="2" customWidth="1"/>
    <col min="3" max="3" width="6.625" style="2" customWidth="1"/>
    <col min="4" max="7" width="9.625" style="2" customWidth="1"/>
    <col min="8" max="10" width="8.625" style="2" customWidth="1"/>
    <col min="11" max="11" width="10.625" style="2" customWidth="1"/>
    <col min="12" max="12" width="7.625" style="2" customWidth="1"/>
    <col min="13" max="23" width="10.875" style="2" customWidth="1"/>
    <col min="24" max="24" width="32.625" style="2" customWidth="1"/>
    <col min="25" max="25" width="10.875" style="2" customWidth="1"/>
    <col min="26" max="29" width="20.625" style="2" customWidth="1"/>
    <col min="30" max="30" width="48.625" style="2" customWidth="1"/>
    <col min="31" max="16384" width="10.875" style="2" customWidth="1"/>
  </cols>
  <sheetData>
    <row r="1" ht="11.25">
      <c r="A1" s="1" t="s">
        <v>0</v>
      </c>
    </row>
    <row r="2" ht="11.25">
      <c r="A2" s="1" t="s">
        <v>1</v>
      </c>
    </row>
    <row r="3" spans="1:5" ht="11.25">
      <c r="A3" s="3" t="s">
        <v>2</v>
      </c>
      <c r="E3" s="4"/>
    </row>
    <row r="4" ht="11.25">
      <c r="A4" s="3" t="s">
        <v>3</v>
      </c>
    </row>
    <row r="5" spans="1:6" ht="11.25">
      <c r="A5" s="5" t="s">
        <v>4</v>
      </c>
      <c r="B5" s="5" t="s">
        <v>4</v>
      </c>
      <c r="C5" s="5" t="s">
        <v>4</v>
      </c>
      <c r="D5" s="5" t="s">
        <v>4</v>
      </c>
      <c r="E5" s="5" t="s">
        <v>4</v>
      </c>
      <c r="F5" s="5" t="s">
        <v>4</v>
      </c>
    </row>
    <row r="6" spans="1:6" ht="11.25">
      <c r="A6" s="3" t="s">
        <v>5</v>
      </c>
      <c r="D6" s="6" t="s">
        <v>6</v>
      </c>
      <c r="E6" s="6" t="s">
        <v>6</v>
      </c>
      <c r="F6" s="6" t="s">
        <v>7</v>
      </c>
    </row>
    <row r="7" spans="1:6" ht="11.25">
      <c r="A7" s="3" t="s">
        <v>8</v>
      </c>
      <c r="C7" s="6" t="s">
        <v>9</v>
      </c>
      <c r="D7" s="6" t="s">
        <v>10</v>
      </c>
      <c r="E7" s="6" t="s">
        <v>10</v>
      </c>
      <c r="F7" s="6" t="s">
        <v>11</v>
      </c>
    </row>
    <row r="8" spans="1:6" ht="11.25">
      <c r="A8" s="3" t="s">
        <v>12</v>
      </c>
      <c r="C8" s="6" t="s">
        <v>13</v>
      </c>
      <c r="D8" s="7">
        <v>1</v>
      </c>
      <c r="E8" s="7">
        <v>2</v>
      </c>
      <c r="F8" s="6" t="s">
        <v>10</v>
      </c>
    </row>
    <row r="9" spans="1:6" ht="11.25">
      <c r="A9" s="5" t="s">
        <v>4</v>
      </c>
      <c r="B9" s="5" t="s">
        <v>4</v>
      </c>
      <c r="C9" s="5" t="s">
        <v>4</v>
      </c>
      <c r="D9" s="5" t="s">
        <v>4</v>
      </c>
      <c r="E9" s="5" t="s">
        <v>4</v>
      </c>
      <c r="F9" s="5" t="s">
        <v>4</v>
      </c>
    </row>
    <row r="10" ht="11.25">
      <c r="A10" s="3" t="s">
        <v>14</v>
      </c>
    </row>
    <row r="12" spans="1:6" ht="11.25">
      <c r="A12" s="7">
        <v>0</v>
      </c>
      <c r="D12" s="8">
        <v>69.96</v>
      </c>
      <c r="E12" s="8">
        <v>87.21577</v>
      </c>
      <c r="F12" s="8">
        <v>75</v>
      </c>
    </row>
    <row r="13" spans="1:5" ht="11.25">
      <c r="A13" s="4">
        <v>80</v>
      </c>
      <c r="D13" s="8">
        <v>6.71</v>
      </c>
      <c r="E13" s="8">
        <v>13.53</v>
      </c>
    </row>
    <row r="14" ht="11.25">
      <c r="E14" s="4"/>
    </row>
    <row r="15" spans="1:5" ht="11.25">
      <c r="A15" s="3" t="s">
        <v>15</v>
      </c>
      <c r="E15" s="4"/>
    </row>
    <row r="16" ht="11.25">
      <c r="E16" s="4"/>
    </row>
    <row r="17" spans="1:5" ht="11.25">
      <c r="A17" s="7">
        <v>0</v>
      </c>
      <c r="C17" s="7">
        <v>1</v>
      </c>
      <c r="D17" s="9">
        <v>0.132</v>
      </c>
      <c r="E17" s="9">
        <v>0.06</v>
      </c>
    </row>
    <row r="18" spans="1:5" ht="11.25">
      <c r="A18" s="7">
        <v>1</v>
      </c>
      <c r="C18" s="7">
        <v>4</v>
      </c>
      <c r="D18" s="9">
        <v>1.676</v>
      </c>
      <c r="E18" s="9">
        <v>1.52</v>
      </c>
    </row>
    <row r="19" ht="11.25">
      <c r="E19" s="4"/>
    </row>
    <row r="20" spans="1:5" ht="11.25">
      <c r="A20" s="3" t="s">
        <v>16</v>
      </c>
      <c r="E20" s="4"/>
    </row>
    <row r="21" ht="11.25">
      <c r="E21" s="4"/>
    </row>
    <row r="22" spans="1:5" ht="11.25">
      <c r="A22" s="3" t="s">
        <v>17</v>
      </c>
      <c r="C22" s="7">
        <v>1</v>
      </c>
      <c r="D22" s="10">
        <v>0.014</v>
      </c>
      <c r="E22" s="10">
        <v>0.003</v>
      </c>
    </row>
    <row r="23" spans="1:5" ht="11.25">
      <c r="A23" s="3" t="s">
        <v>18</v>
      </c>
      <c r="C23" s="7">
        <v>4</v>
      </c>
      <c r="D23" s="10">
        <v>0.0029</v>
      </c>
      <c r="E23" s="10">
        <v>0.00028</v>
      </c>
    </row>
    <row r="24" spans="1:5" ht="11.25">
      <c r="A24" s="3" t="s">
        <v>19</v>
      </c>
      <c r="C24" s="7">
        <v>5</v>
      </c>
      <c r="D24" s="10">
        <v>0.0018</v>
      </c>
      <c r="E24" s="10">
        <v>0.0002</v>
      </c>
    </row>
    <row r="25" spans="1:5" ht="11.25">
      <c r="A25" s="3" t="s">
        <v>20</v>
      </c>
      <c r="C25" s="7">
        <v>5</v>
      </c>
      <c r="D25" s="10">
        <v>0.0019</v>
      </c>
      <c r="E25" s="10">
        <v>0.0001</v>
      </c>
    </row>
    <row r="26" spans="1:5" ht="11.25">
      <c r="A26" s="3" t="s">
        <v>21</v>
      </c>
      <c r="C26" s="7">
        <v>5</v>
      </c>
      <c r="D26" s="10">
        <v>0.0071</v>
      </c>
      <c r="E26" s="10">
        <v>0.00045</v>
      </c>
    </row>
    <row r="27" spans="1:5" ht="11.25">
      <c r="A27" s="3" t="s">
        <v>22</v>
      </c>
      <c r="C27" s="7">
        <v>5</v>
      </c>
      <c r="D27" s="10">
        <v>0.0101</v>
      </c>
      <c r="E27" s="10">
        <v>0.0007</v>
      </c>
    </row>
    <row r="28" spans="1:5" ht="11.25">
      <c r="A28" s="3" t="s">
        <v>23</v>
      </c>
      <c r="C28" s="7">
        <v>5</v>
      </c>
      <c r="D28" s="10">
        <v>0.0098</v>
      </c>
      <c r="E28" s="10">
        <v>0.0006</v>
      </c>
    </row>
    <row r="29" spans="1:5" ht="11.25">
      <c r="A29" s="3" t="s">
        <v>24</v>
      </c>
      <c r="C29" s="7">
        <v>5</v>
      </c>
      <c r="D29" s="10">
        <v>0.0098</v>
      </c>
      <c r="E29" s="10">
        <v>0.00095</v>
      </c>
    </row>
    <row r="30" spans="1:5" ht="11.25">
      <c r="A30" s="3" t="s">
        <v>25</v>
      </c>
      <c r="C30" s="7">
        <v>5</v>
      </c>
      <c r="D30" s="10">
        <v>0.0122</v>
      </c>
      <c r="E30" s="10">
        <v>0.00175</v>
      </c>
    </row>
    <row r="31" spans="1:5" ht="11.25">
      <c r="A31" s="3" t="s">
        <v>26</v>
      </c>
      <c r="C31" s="7">
        <v>5</v>
      </c>
      <c r="D31" s="10">
        <v>0.018</v>
      </c>
      <c r="E31" s="10">
        <v>0.003</v>
      </c>
    </row>
    <row r="32" spans="1:5" ht="11.25">
      <c r="A32" s="3" t="s">
        <v>27</v>
      </c>
      <c r="C32" s="7">
        <v>5</v>
      </c>
      <c r="D32" s="10">
        <v>0.0288</v>
      </c>
      <c r="E32" s="10">
        <v>0.00568</v>
      </c>
    </row>
    <row r="33" spans="1:5" ht="11.25">
      <c r="A33" s="3" t="s">
        <v>28</v>
      </c>
      <c r="C33" s="7">
        <v>5</v>
      </c>
      <c r="D33" s="10">
        <v>0.0462</v>
      </c>
      <c r="E33" s="10">
        <v>0.0096</v>
      </c>
    </row>
    <row r="34" spans="1:5" ht="11.25">
      <c r="A34" s="3" t="s">
        <v>29</v>
      </c>
      <c r="C34" s="7">
        <v>5</v>
      </c>
      <c r="D34" s="10">
        <v>0.0707</v>
      </c>
      <c r="E34" s="10">
        <v>0.01489</v>
      </c>
    </row>
    <row r="35" spans="1:5" ht="11.25">
      <c r="A35" s="3" t="s">
        <v>30</v>
      </c>
      <c r="C35" s="7">
        <v>5</v>
      </c>
      <c r="D35" s="10">
        <v>0.1061</v>
      </c>
      <c r="E35" s="10">
        <v>0.02342</v>
      </c>
    </row>
    <row r="36" spans="1:5" ht="11.25">
      <c r="A36" s="7" t="str">
        <f aca="true" t="shared" si="0" ref="A36:A43">IF(C216=2,"",D216)</f>
        <v>65</v>
      </c>
      <c r="C36" s="7">
        <f aca="true" t="shared" si="1" ref="C36:C43">CHOOSE(C216+1,5,"     +","")</f>
        <v>5</v>
      </c>
      <c r="D36" s="10">
        <v>0.1571</v>
      </c>
      <c r="E36" s="10">
        <v>0.03792</v>
      </c>
    </row>
    <row r="37" spans="1:5" ht="11.25">
      <c r="A37" s="7" t="str">
        <f t="shared" si="0"/>
        <v>70</v>
      </c>
      <c r="C37" s="7">
        <f t="shared" si="1"/>
        <v>5</v>
      </c>
      <c r="D37" s="10">
        <v>0.2259</v>
      </c>
      <c r="E37" s="10">
        <v>0.06558</v>
      </c>
    </row>
    <row r="38" spans="1:5" ht="11.25">
      <c r="A38" s="7" t="str">
        <f t="shared" si="0"/>
        <v>75</v>
      </c>
      <c r="C38" s="7">
        <f t="shared" si="1"/>
        <v>5</v>
      </c>
      <c r="D38" s="10">
        <v>0.3149</v>
      </c>
      <c r="E38" s="10">
        <v>0.11241</v>
      </c>
    </row>
    <row r="39" spans="1:5" ht="11.25">
      <c r="A39" s="7" t="str">
        <f t="shared" si="0"/>
        <v>80</v>
      </c>
      <c r="C39" s="7" t="str">
        <f t="shared" si="1"/>
        <v>     +</v>
      </c>
      <c r="D39" s="10">
        <v>1</v>
      </c>
      <c r="E39" s="10">
        <v>1</v>
      </c>
    </row>
    <row r="40" spans="1:5" ht="11.25">
      <c r="A40" s="7">
        <f t="shared" si="0"/>
      </c>
      <c r="C40" s="7">
        <f t="shared" si="1"/>
      </c>
      <c r="D40" s="10">
        <v>0</v>
      </c>
      <c r="E40" s="10">
        <v>0</v>
      </c>
    </row>
    <row r="41" spans="1:5" ht="11.25">
      <c r="A41" s="7">
        <f t="shared" si="0"/>
      </c>
      <c r="C41" s="7">
        <f t="shared" si="1"/>
      </c>
      <c r="D41" s="10">
        <v>0</v>
      </c>
      <c r="E41" s="10">
        <v>0</v>
      </c>
    </row>
    <row r="42" spans="1:5" ht="11.25">
      <c r="A42" s="7">
        <f t="shared" si="0"/>
      </c>
      <c r="C42" s="7">
        <f t="shared" si="1"/>
      </c>
      <c r="D42" s="10">
        <v>0</v>
      </c>
      <c r="E42" s="10">
        <v>0</v>
      </c>
    </row>
    <row r="43" spans="1:5" ht="11.25">
      <c r="A43" s="7">
        <f t="shared" si="0"/>
      </c>
      <c r="C43" s="7">
        <f t="shared" si="1"/>
      </c>
      <c r="D43" s="10">
        <v>0</v>
      </c>
      <c r="E43" s="10">
        <v>0</v>
      </c>
    </row>
    <row r="44" spans="1:6" ht="11.25">
      <c r="A44" s="5" t="s">
        <v>4</v>
      </c>
      <c r="B44" s="5" t="s">
        <v>4</v>
      </c>
      <c r="C44" s="5" t="s">
        <v>4</v>
      </c>
      <c r="D44" s="5" t="s">
        <v>4</v>
      </c>
      <c r="E44" s="5" t="s">
        <v>4</v>
      </c>
      <c r="F44" s="5" t="s">
        <v>4</v>
      </c>
    </row>
    <row r="45" spans="1:9" ht="11.25">
      <c r="A45" s="1" t="s">
        <v>31</v>
      </c>
      <c r="B45" s="4"/>
      <c r="C45" s="4"/>
      <c r="D45" s="4"/>
      <c r="E45" s="4"/>
      <c r="F45" s="4"/>
      <c r="G45" s="4"/>
      <c r="H45" s="4"/>
      <c r="I45" s="4"/>
    </row>
    <row r="46" spans="1:11" ht="11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1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8" ht="11.25">
      <c r="A49" s="4"/>
      <c r="B49" s="4"/>
      <c r="C49" s="4"/>
      <c r="D49" s="4"/>
      <c r="E49" s="4"/>
      <c r="F49" s="4"/>
      <c r="G49" s="4"/>
      <c r="H49" s="4"/>
    </row>
    <row r="50" spans="1:8" ht="11.25">
      <c r="A50" s="4"/>
      <c r="B50" s="4"/>
      <c r="C50" s="4"/>
      <c r="D50" s="4"/>
      <c r="E50" s="4"/>
      <c r="F50" s="4"/>
      <c r="G50" s="4"/>
      <c r="H50" s="4"/>
    </row>
    <row r="51" spans="1:8" ht="11.25">
      <c r="A51" s="4"/>
      <c r="B51" s="4"/>
      <c r="C51" s="4"/>
      <c r="D51" s="4"/>
      <c r="E51" s="4"/>
      <c r="F51" s="4"/>
      <c r="G51" s="4"/>
      <c r="H51" s="4"/>
    </row>
    <row r="52" spans="1:9" ht="11.25">
      <c r="A52" s="4"/>
      <c r="B52" s="4"/>
      <c r="C52" s="4"/>
      <c r="D52" s="4"/>
      <c r="E52" s="4"/>
      <c r="F52" s="4"/>
      <c r="G52" s="4"/>
      <c r="H52" s="4"/>
      <c r="I52" s="4"/>
    </row>
    <row r="53" spans="1:9" ht="11.25">
      <c r="A53" s="1" t="s">
        <v>32</v>
      </c>
      <c r="B53" s="4"/>
      <c r="C53" s="4"/>
      <c r="D53" s="4"/>
      <c r="E53" s="4"/>
      <c r="F53" s="4"/>
      <c r="G53" s="4"/>
      <c r="H53" s="4"/>
      <c r="I53" s="4"/>
    </row>
    <row r="54" ht="11.25">
      <c r="A54" s="3"/>
    </row>
    <row r="55" ht="11.25">
      <c r="A55" s="3" t="s">
        <v>33</v>
      </c>
    </row>
    <row r="56" spans="1:12" ht="11.25">
      <c r="A56" s="5" t="s">
        <v>4</v>
      </c>
      <c r="B56" s="5" t="s">
        <v>4</v>
      </c>
      <c r="C56" s="5" t="s">
        <v>4</v>
      </c>
      <c r="D56" s="5" t="s">
        <v>4</v>
      </c>
      <c r="E56" s="5" t="s">
        <v>4</v>
      </c>
      <c r="F56" s="5" t="s">
        <v>4</v>
      </c>
      <c r="G56" s="5" t="s">
        <v>4</v>
      </c>
      <c r="H56" s="5" t="s">
        <v>4</v>
      </c>
      <c r="I56" s="5" t="s">
        <v>4</v>
      </c>
      <c r="J56" s="5" t="s">
        <v>4</v>
      </c>
      <c r="K56" s="5" t="s">
        <v>4</v>
      </c>
      <c r="L56" s="5" t="s">
        <v>4</v>
      </c>
    </row>
    <row r="57" spans="1:3" ht="11.25">
      <c r="A57" s="3" t="s">
        <v>34</v>
      </c>
      <c r="C57" s="6" t="s">
        <v>35</v>
      </c>
    </row>
    <row r="58" spans="1:12" ht="11.25">
      <c r="A58" s="3" t="s">
        <v>36</v>
      </c>
      <c r="C58" s="6" t="s">
        <v>13</v>
      </c>
      <c r="D58" s="6" t="s">
        <v>37</v>
      </c>
      <c r="E58" s="6" t="s">
        <v>38</v>
      </c>
      <c r="F58" s="6" t="s">
        <v>39</v>
      </c>
      <c r="G58" s="6" t="s">
        <v>40</v>
      </c>
      <c r="H58" s="6" t="s">
        <v>41</v>
      </c>
      <c r="I58" s="6" t="s">
        <v>42</v>
      </c>
      <c r="J58" s="6" t="s">
        <v>43</v>
      </c>
      <c r="K58" s="6" t="s">
        <v>44</v>
      </c>
      <c r="L58" s="6" t="s">
        <v>45</v>
      </c>
    </row>
    <row r="59" spans="1:12" ht="11.25">
      <c r="A59" s="5" t="s">
        <v>4</v>
      </c>
      <c r="B59" s="5" t="s">
        <v>4</v>
      </c>
      <c r="C59" s="5" t="s">
        <v>4</v>
      </c>
      <c r="D59" s="5" t="s">
        <v>4</v>
      </c>
      <c r="E59" s="5" t="s">
        <v>4</v>
      </c>
      <c r="F59" s="5" t="s">
        <v>4</v>
      </c>
      <c r="G59" s="5" t="s">
        <v>4</v>
      </c>
      <c r="H59" s="5" t="s">
        <v>4</v>
      </c>
      <c r="I59" s="5" t="s">
        <v>4</v>
      </c>
      <c r="J59" s="5" t="s">
        <v>4</v>
      </c>
      <c r="K59" s="5" t="s">
        <v>4</v>
      </c>
      <c r="L59" s="5" t="s">
        <v>4</v>
      </c>
    </row>
    <row r="60" spans="1:12" ht="11.25">
      <c r="A60" s="3" t="s">
        <v>17</v>
      </c>
      <c r="C60" s="7">
        <v>1</v>
      </c>
      <c r="D60" s="11">
        <f aca="true" t="shared" si="2" ref="D60:D73">F60/(C60-(C60-E60)*F60)</f>
        <v>0.009766910529649788</v>
      </c>
      <c r="E60" s="12">
        <f>G381</f>
        <v>0.11476864967300952</v>
      </c>
      <c r="F60" s="11">
        <f aca="true" t="shared" si="3" ref="F60:F73">D381</f>
        <v>0.009683189907944275</v>
      </c>
      <c r="G60" s="13">
        <v>100000</v>
      </c>
      <c r="H60" s="13">
        <f aca="true" t="shared" si="4" ref="H60:H73">G60*F60</f>
        <v>968.3189907944276</v>
      </c>
      <c r="I60" s="13">
        <f aca="true" t="shared" si="5" ref="I60:I73">G61*C60+H60*E60</f>
        <v>99142.81367223177</v>
      </c>
      <c r="J60" s="11">
        <f>(I60+I61)/(5*G60)</f>
        <v>0.9897639212808155</v>
      </c>
      <c r="K60" s="13">
        <f aca="true" t="shared" si="6" ref="K60:K73">K61+I60</f>
        <v>7499998.956949365</v>
      </c>
      <c r="L60" s="14">
        <f aca="true" t="shared" si="7" ref="L60:L73">K60/G60</f>
        <v>74.99998956949365</v>
      </c>
    </row>
    <row r="61" spans="1:12" ht="11.25">
      <c r="A61" s="3" t="s">
        <v>18</v>
      </c>
      <c r="C61" s="7">
        <v>4</v>
      </c>
      <c r="D61" s="11">
        <f t="shared" si="2"/>
        <v>0.0004147549052313983</v>
      </c>
      <c r="E61" s="12">
        <f>G382</f>
        <v>1.638665407624854</v>
      </c>
      <c r="F61" s="11">
        <f t="shared" si="3"/>
        <v>0.0016573964081442074</v>
      </c>
      <c r="G61" s="13">
        <f aca="true" t="shared" si="8" ref="G61:G73">G60*(1-F60)</f>
        <v>99031.68100920557</v>
      </c>
      <c r="H61" s="13">
        <f t="shared" si="4"/>
        <v>164.13475239714023</v>
      </c>
      <c r="I61" s="13">
        <f t="shared" si="5"/>
        <v>395739.146968176</v>
      </c>
      <c r="J61" s="11">
        <f>I62/(I61+I60)</f>
        <v>0.998368921628225</v>
      </c>
      <c r="K61" s="13">
        <f t="shared" si="6"/>
        <v>7400856.143277134</v>
      </c>
      <c r="L61" s="14">
        <f t="shared" si="7"/>
        <v>74.73220759111604</v>
      </c>
    </row>
    <row r="62" spans="1:12" ht="11.25">
      <c r="A62" s="3" t="s">
        <v>19</v>
      </c>
      <c r="C62" s="7">
        <v>5</v>
      </c>
      <c r="D62" s="11">
        <f t="shared" si="2"/>
        <v>0.0002128923980860194</v>
      </c>
      <c r="E62" s="12">
        <v>2.5</v>
      </c>
      <c r="F62" s="11">
        <f t="shared" si="3"/>
        <v>0.001063895752135133</v>
      </c>
      <c r="G62" s="13">
        <f t="shared" si="8"/>
        <v>98867.54625680843</v>
      </c>
      <c r="H62" s="13">
        <f t="shared" si="4"/>
        <v>105.18476248664227</v>
      </c>
      <c r="I62" s="13">
        <f t="shared" si="5"/>
        <v>494074.76937782555</v>
      </c>
      <c r="J62" s="11">
        <f aca="true" t="shared" si="9" ref="J62:J72">I63/I62</f>
        <v>0.9989984635788</v>
      </c>
      <c r="K62" s="13">
        <f t="shared" si="6"/>
        <v>7005116.996308958</v>
      </c>
      <c r="L62" s="14">
        <f t="shared" si="7"/>
        <v>70.85355368396792</v>
      </c>
    </row>
    <row r="63" spans="1:12" ht="11.25">
      <c r="A63" s="3" t="s">
        <v>20</v>
      </c>
      <c r="C63" s="7">
        <v>5</v>
      </c>
      <c r="D63" s="11">
        <f t="shared" si="2"/>
        <v>0.00018791036947293267</v>
      </c>
      <c r="E63" s="12">
        <v>2.5</v>
      </c>
      <c r="F63" s="11">
        <f t="shared" si="3"/>
        <v>0.000939110675779509</v>
      </c>
      <c r="G63" s="13">
        <f t="shared" si="8"/>
        <v>98762.36149432178</v>
      </c>
      <c r="H63" s="13">
        <f t="shared" si="4"/>
        <v>92.7487880445127</v>
      </c>
      <c r="I63" s="13">
        <f t="shared" si="5"/>
        <v>493579.93550149765</v>
      </c>
      <c r="J63" s="11">
        <f t="shared" si="9"/>
        <v>0.9976966317146676</v>
      </c>
      <c r="K63" s="13">
        <f t="shared" si="6"/>
        <v>6511042.226931132</v>
      </c>
      <c r="L63" s="14">
        <f t="shared" si="7"/>
        <v>65.92635218939633</v>
      </c>
    </row>
    <row r="64" spans="1:12" ht="11.25">
      <c r="A64" s="3" t="s">
        <v>21</v>
      </c>
      <c r="C64" s="7">
        <v>5</v>
      </c>
      <c r="D64" s="11">
        <f t="shared" si="2"/>
        <v>0.0007351302202950171</v>
      </c>
      <c r="E64" s="12">
        <v>2.5</v>
      </c>
      <c r="F64" s="11">
        <f t="shared" si="3"/>
        <v>0.0036689082880799395</v>
      </c>
      <c r="G64" s="13">
        <f t="shared" si="8"/>
        <v>98669.61270627727</v>
      </c>
      <c r="H64" s="13">
        <f t="shared" si="4"/>
        <v>362.0097598396984</v>
      </c>
      <c r="I64" s="13">
        <f t="shared" si="5"/>
        <v>492443.0391317871</v>
      </c>
      <c r="J64" s="11">
        <f t="shared" si="9"/>
        <v>0.9955010685258013</v>
      </c>
      <c r="K64" s="13">
        <f t="shared" si="6"/>
        <v>6017462.291429635</v>
      </c>
      <c r="L64" s="14">
        <f t="shared" si="7"/>
        <v>60.98597254397462</v>
      </c>
    </row>
    <row r="65" spans="1:12" ht="11.25">
      <c r="A65" s="3" t="s">
        <v>22</v>
      </c>
      <c r="C65" s="7">
        <v>5</v>
      </c>
      <c r="D65" s="11">
        <f t="shared" si="2"/>
        <v>0.0010692528647515901</v>
      </c>
      <c r="E65" s="12">
        <v>2.5</v>
      </c>
      <c r="F65" s="11">
        <f t="shared" si="3"/>
        <v>0.005332011153256683</v>
      </c>
      <c r="G65" s="13">
        <f t="shared" si="8"/>
        <v>98307.60294643758</v>
      </c>
      <c r="H65" s="13">
        <f t="shared" si="4"/>
        <v>524.1772353603346</v>
      </c>
      <c r="I65" s="13">
        <f t="shared" si="5"/>
        <v>490227.571643787</v>
      </c>
      <c r="J65" s="11">
        <f t="shared" si="9"/>
        <v>0.9948224008969921</v>
      </c>
      <c r="K65" s="13">
        <f t="shared" si="6"/>
        <v>5525019.252297848</v>
      </c>
      <c r="L65" s="14">
        <f t="shared" si="7"/>
        <v>56.20134238557448</v>
      </c>
    </row>
    <row r="66" spans="1:12" ht="11.25">
      <c r="A66" s="3" t="s">
        <v>23</v>
      </c>
      <c r="C66" s="7">
        <v>5</v>
      </c>
      <c r="D66" s="11">
        <f t="shared" si="2"/>
        <v>0.0010070006219685555</v>
      </c>
      <c r="E66" s="12">
        <v>2.5</v>
      </c>
      <c r="F66" s="11">
        <f t="shared" si="3"/>
        <v>0.0050223593124642755</v>
      </c>
      <c r="G66" s="13">
        <f t="shared" si="8"/>
        <v>97783.42571107725</v>
      </c>
      <c r="H66" s="13">
        <f t="shared" si="4"/>
        <v>491.1034987246875</v>
      </c>
      <c r="I66" s="13">
        <f t="shared" si="5"/>
        <v>487689.36980857444</v>
      </c>
      <c r="J66" s="11">
        <f t="shared" si="9"/>
        <v>0.9946864442501528</v>
      </c>
      <c r="K66" s="13">
        <f t="shared" si="6"/>
        <v>5034791.680654061</v>
      </c>
      <c r="L66" s="14">
        <f t="shared" si="7"/>
        <v>51.48921347397325</v>
      </c>
    </row>
    <row r="67" spans="1:12" ht="11.25">
      <c r="A67" s="3" t="s">
        <v>24</v>
      </c>
      <c r="C67" s="7">
        <v>5</v>
      </c>
      <c r="D67" s="11">
        <f t="shared" si="2"/>
        <v>0.0011243962199700389</v>
      </c>
      <c r="E67" s="12">
        <v>2.5</v>
      </c>
      <c r="F67" s="11">
        <f t="shared" si="3"/>
        <v>0.005606222062611412</v>
      </c>
      <c r="G67" s="13">
        <f t="shared" si="8"/>
        <v>97292.32221235255</v>
      </c>
      <c r="H67" s="13">
        <f t="shared" si="4"/>
        <v>545.4423633095892</v>
      </c>
      <c r="I67" s="13">
        <f t="shared" si="5"/>
        <v>485098.0051534888</v>
      </c>
      <c r="J67" s="11">
        <f t="shared" si="9"/>
        <v>0.9933671042133918</v>
      </c>
      <c r="K67" s="13">
        <f t="shared" si="6"/>
        <v>4547102.310845487</v>
      </c>
      <c r="L67" s="14">
        <f t="shared" si="7"/>
        <v>46.7364968524533</v>
      </c>
    </row>
    <row r="68" spans="1:12" ht="11.25">
      <c r="A68" s="3" t="s">
        <v>25</v>
      </c>
      <c r="C68" s="7">
        <v>5</v>
      </c>
      <c r="D68" s="11">
        <f t="shared" si="2"/>
        <v>0.001538969921783216</v>
      </c>
      <c r="E68" s="12">
        <v>2.5</v>
      </c>
      <c r="F68" s="11">
        <f t="shared" si="3"/>
        <v>0.007665357721483401</v>
      </c>
      <c r="G68" s="13">
        <f t="shared" si="8"/>
        <v>96746.87984904296</v>
      </c>
      <c r="H68" s="13">
        <f t="shared" si="4"/>
        <v>741.5994424802883</v>
      </c>
      <c r="I68" s="13">
        <f t="shared" si="5"/>
        <v>481880.40063901414</v>
      </c>
      <c r="J68" s="11">
        <f t="shared" si="9"/>
        <v>0.9903135834634457</v>
      </c>
      <c r="K68" s="13">
        <f t="shared" si="6"/>
        <v>4062004.3056919985</v>
      </c>
      <c r="L68" s="14">
        <f t="shared" si="7"/>
        <v>41.98589465655187</v>
      </c>
    </row>
    <row r="69" spans="1:12" ht="11.25">
      <c r="A69" s="3" t="s">
        <v>26</v>
      </c>
      <c r="C69" s="7">
        <v>5</v>
      </c>
      <c r="D69" s="11">
        <f t="shared" si="2"/>
        <v>0.0023584415399718053</v>
      </c>
      <c r="E69" s="12">
        <v>2.5</v>
      </c>
      <c r="F69" s="11">
        <f t="shared" si="3"/>
        <v>0.011723087160518833</v>
      </c>
      <c r="G69" s="13">
        <f t="shared" si="8"/>
        <v>96005.28040656268</v>
      </c>
      <c r="H69" s="13">
        <f t="shared" si="4"/>
        <v>1125.4782700761853</v>
      </c>
      <c r="I69" s="13">
        <f t="shared" si="5"/>
        <v>477212.706357623</v>
      </c>
      <c r="J69" s="11">
        <f t="shared" si="9"/>
        <v>0.9843974541738799</v>
      </c>
      <c r="K69" s="13">
        <f t="shared" si="6"/>
        <v>3580123.905052984</v>
      </c>
      <c r="L69" s="14">
        <f t="shared" si="7"/>
        <v>37.290906186533626</v>
      </c>
    </row>
    <row r="70" spans="1:12" ht="11.25">
      <c r="A70" s="3" t="s">
        <v>27</v>
      </c>
      <c r="C70" s="7">
        <v>5</v>
      </c>
      <c r="D70" s="11">
        <f t="shared" si="2"/>
        <v>0.003944115025911541</v>
      </c>
      <c r="E70" s="12">
        <v>2.5</v>
      </c>
      <c r="F70" s="11">
        <f t="shared" si="3"/>
        <v>0.019528023205182928</v>
      </c>
      <c r="G70" s="13">
        <f t="shared" si="8"/>
        <v>94879.8021364865</v>
      </c>
      <c r="H70" s="13">
        <f t="shared" si="4"/>
        <v>1852.814977824473</v>
      </c>
      <c r="I70" s="13">
        <f t="shared" si="5"/>
        <v>469766.97323787137</v>
      </c>
      <c r="J70" s="11">
        <f t="shared" si="9"/>
        <v>0.974436064424393</v>
      </c>
      <c r="K70" s="13">
        <f t="shared" si="6"/>
        <v>3102911.198695361</v>
      </c>
      <c r="L70" s="14">
        <f t="shared" si="7"/>
        <v>32.70360107024423</v>
      </c>
    </row>
    <row r="71" spans="1:12" ht="11.25">
      <c r="A71" s="3" t="s">
        <v>28</v>
      </c>
      <c r="C71" s="7">
        <v>5</v>
      </c>
      <c r="D71" s="11">
        <f t="shared" si="2"/>
        <v>0.006446250743030276</v>
      </c>
      <c r="E71" s="12">
        <v>2.5</v>
      </c>
      <c r="F71" s="11">
        <f t="shared" si="3"/>
        <v>0.03172006498397164</v>
      </c>
      <c r="G71" s="13">
        <f t="shared" si="8"/>
        <v>93026.98715866203</v>
      </c>
      <c r="H71" s="13">
        <f t="shared" si="4"/>
        <v>2950.822077935855</v>
      </c>
      <c r="I71" s="13">
        <f t="shared" si="5"/>
        <v>457757.8805984705</v>
      </c>
      <c r="J71" s="11">
        <f t="shared" si="9"/>
        <v>0.9599278013618724</v>
      </c>
      <c r="K71" s="13">
        <f t="shared" si="6"/>
        <v>2633144.22545749</v>
      </c>
      <c r="L71" s="14">
        <f t="shared" si="7"/>
        <v>28.30516504814388</v>
      </c>
    </row>
    <row r="72" spans="1:12" ht="11.25">
      <c r="A72" s="3" t="s">
        <v>29</v>
      </c>
      <c r="C72" s="7">
        <v>5</v>
      </c>
      <c r="D72" s="11">
        <f t="shared" si="2"/>
        <v>0.009982655673297121</v>
      </c>
      <c r="E72" s="12">
        <v>2.5</v>
      </c>
      <c r="F72" s="11">
        <f t="shared" si="3"/>
        <v>0.04869794141365824</v>
      </c>
      <c r="G72" s="13">
        <f t="shared" si="8"/>
        <v>90076.16508072618</v>
      </c>
      <c r="H72" s="13">
        <f t="shared" si="4"/>
        <v>4386.523809868211</v>
      </c>
      <c r="I72" s="13">
        <f t="shared" si="5"/>
        <v>439414.5158789603</v>
      </c>
      <c r="J72" s="11">
        <f t="shared" si="9"/>
        <v>0.9390119042507893</v>
      </c>
      <c r="K72" s="13">
        <f t="shared" si="6"/>
        <v>2175386.3448590194</v>
      </c>
      <c r="L72" s="14">
        <f t="shared" si="7"/>
        <v>24.15052131614884</v>
      </c>
    </row>
    <row r="73" spans="1:12" ht="11.25">
      <c r="A73" s="3" t="s">
        <v>30</v>
      </c>
      <c r="C73" s="7">
        <v>5</v>
      </c>
      <c r="D73" s="11">
        <f t="shared" si="2"/>
        <v>0.015348668702860115</v>
      </c>
      <c r="E73" s="12">
        <v>2.5</v>
      </c>
      <c r="F73" s="11">
        <f t="shared" si="3"/>
        <v>0.0739073932789732</v>
      </c>
      <c r="G73" s="13">
        <f t="shared" si="8"/>
        <v>85689.64127085796</v>
      </c>
      <c r="H73" s="13">
        <f t="shared" si="4"/>
        <v>6333.098017339432</v>
      </c>
      <c r="I73" s="13">
        <f t="shared" si="5"/>
        <v>412615.4613109412</v>
      </c>
      <c r="J73" s="11">
        <f aca="true" t="shared" si="10" ref="J73:J80">CHOOSE(C216+1,I74/I73,K74/K73," ")</f>
        <v>0.9078736011795128</v>
      </c>
      <c r="K73" s="13">
        <f t="shared" si="6"/>
        <v>1735971.828980059</v>
      </c>
      <c r="L73" s="14">
        <f t="shared" si="7"/>
        <v>20.25882945982693</v>
      </c>
    </row>
    <row r="74" spans="1:12" ht="11.25">
      <c r="A74" s="7" t="str">
        <f aca="true" t="shared" si="11" ref="A74:A81">IF(C216=2,"",D216)</f>
        <v>65</v>
      </c>
      <c r="C74" s="7">
        <f aca="true" t="shared" si="12" ref="C74:C81">CHOOSE(C216+1,5,"     +"," ")</f>
        <v>5</v>
      </c>
      <c r="D74" s="11">
        <f aca="true" t="shared" si="13" ref="D74:D81">CHOOSE(C216+1,F74/(C74-(C74-E74)*F74),1/L74,"")</f>
        <v>0.0236837934238856</v>
      </c>
      <c r="E74" s="12">
        <f aca="true" t="shared" si="14" ref="E74:E81">CHOOSE(C216+1,2.5,G395," ")</f>
        <v>2.5</v>
      </c>
      <c r="F74" s="11">
        <f aca="true" t="shared" si="15" ref="F74:F81">IF(C216&lt;2,D395,"")</f>
        <v>0.11179938336791903</v>
      </c>
      <c r="G74" s="13">
        <f aca="true" t="shared" si="16" ref="G74:G81">IF(C216&lt;2,G73*(1-F73)," ")</f>
        <v>79356.54325351852</v>
      </c>
      <c r="H74" s="13">
        <f aca="true" t="shared" si="17" ref="H74:H81">IF(C216&lt;2,G74*F74," ")</f>
        <v>8872.012601952965</v>
      </c>
      <c r="I74" s="13">
        <f aca="true" t="shared" si="18" ref="I74:I81">CHOOSE(C216+1,+G75*C74+H74*E74,E74*G74,"")</f>
        <v>374602.6847627101</v>
      </c>
      <c r="J74" s="11">
        <f t="shared" si="10"/>
        <v>0.8617540795875261</v>
      </c>
      <c r="K74" s="13">
        <f aca="true" t="shared" si="19" ref="K74:K81">CHOOSE(C216+1,K75+I74,I74," ")</f>
        <v>1323356.3676691176</v>
      </c>
      <c r="L74" s="14">
        <f aca="true" t="shared" si="20" ref="L74:L81">CHOOSE(C216+1,K74/G74,E74,"")</f>
        <v>16.6760838289216</v>
      </c>
    </row>
    <row r="75" spans="1:12" ht="11.25">
      <c r="A75" s="7" t="str">
        <f t="shared" si="11"/>
        <v>70</v>
      </c>
      <c r="C75" s="7">
        <f t="shared" si="12"/>
        <v>5</v>
      </c>
      <c r="D75" s="11">
        <f t="shared" si="13"/>
        <v>0.03668630702187816</v>
      </c>
      <c r="E75" s="12">
        <f t="shared" si="14"/>
        <v>2.5</v>
      </c>
      <c r="F75" s="11">
        <f t="shared" si="15"/>
        <v>0.16802132987439958</v>
      </c>
      <c r="G75" s="13">
        <f t="shared" si="16"/>
        <v>70484.53065156555</v>
      </c>
      <c r="H75" s="13">
        <f t="shared" si="17"/>
        <v>11842.904575648925</v>
      </c>
      <c r="I75" s="13">
        <f t="shared" si="18"/>
        <v>322815.3918187055</v>
      </c>
      <c r="J75" s="11">
        <f t="shared" si="10"/>
        <v>0.796521124374107</v>
      </c>
      <c r="K75" s="13">
        <f t="shared" si="19"/>
        <v>948753.6829064074</v>
      </c>
      <c r="L75" s="14">
        <f t="shared" si="20"/>
        <v>13.460452586348241</v>
      </c>
    </row>
    <row r="76" spans="1:12" ht="11.25">
      <c r="A76" s="7" t="str">
        <f t="shared" si="11"/>
        <v>75</v>
      </c>
      <c r="C76" s="7">
        <f t="shared" si="12"/>
        <v>5</v>
      </c>
      <c r="D76" s="11">
        <f t="shared" si="13"/>
        <v>0.05612562160684396</v>
      </c>
      <c r="E76" s="12">
        <f t="shared" si="14"/>
        <v>2.5</v>
      </c>
      <c r="F76" s="11">
        <f t="shared" si="15"/>
        <v>0.24609721071631122</v>
      </c>
      <c r="G76" s="13">
        <f t="shared" si="16"/>
        <v>58641.62607591663</v>
      </c>
      <c r="H76" s="13">
        <f t="shared" si="17"/>
        <v>14431.540609151985</v>
      </c>
      <c r="I76" s="13">
        <f t="shared" si="18"/>
        <v>257129.2788567032</v>
      </c>
      <c r="J76" s="11">
        <f t="shared" si="10"/>
        <v>0.5892098589944289</v>
      </c>
      <c r="K76" s="13">
        <f t="shared" si="19"/>
        <v>625938.2910877019</v>
      </c>
      <c r="L76" s="14">
        <f t="shared" si="20"/>
        <v>10.673958636095303</v>
      </c>
    </row>
    <row r="77" spans="1:12" ht="11.25">
      <c r="A77" s="7" t="str">
        <f t="shared" si="11"/>
        <v>80</v>
      </c>
      <c r="C77" s="7" t="str">
        <f t="shared" si="12"/>
        <v>     +</v>
      </c>
      <c r="D77" s="11">
        <f t="shared" si="13"/>
        <v>0.1198725736101976</v>
      </c>
      <c r="E77" s="12">
        <f t="shared" si="14"/>
        <v>8.342191794862154</v>
      </c>
      <c r="F77" s="11">
        <f t="shared" si="15"/>
        <v>1</v>
      </c>
      <c r="G77" s="13">
        <f t="shared" si="16"/>
        <v>44210.08546676465</v>
      </c>
      <c r="H77" s="13">
        <f t="shared" si="17"/>
        <v>44210.08546676465</v>
      </c>
      <c r="I77" s="13">
        <f t="shared" si="18"/>
        <v>368809.01223099866</v>
      </c>
      <c r="J77" s="11" t="str">
        <f t="shared" si="10"/>
        <v> </v>
      </c>
      <c r="K77" s="13">
        <f t="shared" si="19"/>
        <v>368809.01223099866</v>
      </c>
      <c r="L77" s="14">
        <f t="shared" si="20"/>
        <v>8.342191794862154</v>
      </c>
    </row>
    <row r="78" spans="1:12" ht="11.25">
      <c r="A78" s="7">
        <f t="shared" si="11"/>
      </c>
      <c r="C78" s="7" t="str">
        <f t="shared" si="12"/>
        <v> </v>
      </c>
      <c r="D78" s="11">
        <f t="shared" si="13"/>
      </c>
      <c r="E78" s="12" t="str">
        <f t="shared" si="14"/>
        <v> </v>
      </c>
      <c r="F78" s="11">
        <f t="shared" si="15"/>
      </c>
      <c r="G78" s="13" t="str">
        <f t="shared" si="16"/>
        <v> </v>
      </c>
      <c r="H78" s="13" t="str">
        <f t="shared" si="17"/>
        <v> </v>
      </c>
      <c r="I78" s="13">
        <f t="shared" si="18"/>
      </c>
      <c r="J78" s="11" t="str">
        <f t="shared" si="10"/>
        <v> </v>
      </c>
      <c r="K78" s="13" t="str">
        <f t="shared" si="19"/>
        <v> </v>
      </c>
      <c r="L78" s="14">
        <f t="shared" si="20"/>
      </c>
    </row>
    <row r="79" spans="1:12" ht="11.25">
      <c r="A79" s="7">
        <f t="shared" si="11"/>
      </c>
      <c r="C79" s="7" t="str">
        <f t="shared" si="12"/>
        <v> </v>
      </c>
      <c r="D79" s="11">
        <f t="shared" si="13"/>
      </c>
      <c r="E79" s="12" t="str">
        <f t="shared" si="14"/>
        <v> </v>
      </c>
      <c r="F79" s="11">
        <f t="shared" si="15"/>
      </c>
      <c r="G79" s="13" t="str">
        <f t="shared" si="16"/>
        <v> </v>
      </c>
      <c r="H79" s="13" t="str">
        <f t="shared" si="17"/>
        <v> </v>
      </c>
      <c r="I79" s="13">
        <f t="shared" si="18"/>
      </c>
      <c r="J79" s="11" t="str">
        <f t="shared" si="10"/>
        <v> </v>
      </c>
      <c r="K79" s="13" t="str">
        <f t="shared" si="19"/>
        <v> </v>
      </c>
      <c r="L79" s="14">
        <f t="shared" si="20"/>
      </c>
    </row>
    <row r="80" spans="1:12" ht="11.25">
      <c r="A80" s="7">
        <f t="shared" si="11"/>
      </c>
      <c r="C80" s="7" t="str">
        <f t="shared" si="12"/>
        <v> </v>
      </c>
      <c r="D80" s="11">
        <f t="shared" si="13"/>
      </c>
      <c r="E80" s="12" t="str">
        <f t="shared" si="14"/>
        <v> </v>
      </c>
      <c r="F80" s="11">
        <f t="shared" si="15"/>
      </c>
      <c r="G80" s="13" t="str">
        <f t="shared" si="16"/>
        <v> </v>
      </c>
      <c r="H80" s="13" t="str">
        <f t="shared" si="17"/>
        <v> </v>
      </c>
      <c r="I80" s="13">
        <f t="shared" si="18"/>
      </c>
      <c r="J80" s="11" t="str">
        <f t="shared" si="10"/>
        <v> </v>
      </c>
      <c r="K80" s="13" t="str">
        <f t="shared" si="19"/>
        <v> </v>
      </c>
      <c r="L80" s="14">
        <f t="shared" si="20"/>
      </c>
    </row>
    <row r="81" spans="1:12" ht="11.25">
      <c r="A81" s="7">
        <f t="shared" si="11"/>
      </c>
      <c r="C81" s="7" t="str">
        <f t="shared" si="12"/>
        <v> </v>
      </c>
      <c r="D81" s="11">
        <f t="shared" si="13"/>
      </c>
      <c r="E81" s="12" t="str">
        <f t="shared" si="14"/>
        <v> </v>
      </c>
      <c r="F81" s="11">
        <f t="shared" si="15"/>
      </c>
      <c r="G81" s="13" t="str">
        <f t="shared" si="16"/>
        <v> </v>
      </c>
      <c r="H81" s="13" t="str">
        <f t="shared" si="17"/>
        <v> </v>
      </c>
      <c r="I81" s="13">
        <f t="shared" si="18"/>
      </c>
      <c r="K81" s="13" t="str">
        <f t="shared" si="19"/>
        <v> </v>
      </c>
      <c r="L81" s="14">
        <f t="shared" si="20"/>
      </c>
    </row>
    <row r="82" spans="1:12" ht="11.25">
      <c r="A82" s="5" t="s">
        <v>4</v>
      </c>
      <c r="B82" s="5" t="s">
        <v>4</v>
      </c>
      <c r="C82" s="5" t="s">
        <v>4</v>
      </c>
      <c r="D82" s="5" t="s">
        <v>4</v>
      </c>
      <c r="E82" s="5" t="s">
        <v>4</v>
      </c>
      <c r="F82" s="5" t="s">
        <v>4</v>
      </c>
      <c r="G82" s="5" t="s">
        <v>4</v>
      </c>
      <c r="H82" s="5" t="s">
        <v>4</v>
      </c>
      <c r="I82" s="5" t="s">
        <v>4</v>
      </c>
      <c r="J82" s="5" t="s">
        <v>4</v>
      </c>
      <c r="K82" s="5" t="s">
        <v>4</v>
      </c>
      <c r="L82" s="5" t="s">
        <v>4</v>
      </c>
    </row>
    <row r="83" ht="11.25">
      <c r="A83" s="3" t="s">
        <v>46</v>
      </c>
    </row>
    <row r="84" ht="11.25">
      <c r="A84" s="3" t="s">
        <v>47</v>
      </c>
    </row>
    <row r="85" ht="11.25">
      <c r="A85" s="3" t="s">
        <v>48</v>
      </c>
    </row>
    <row r="86" ht="11.25">
      <c r="A86" s="3" t="s">
        <v>49</v>
      </c>
    </row>
    <row r="87" ht="11.25">
      <c r="A87" s="3" t="s">
        <v>50</v>
      </c>
    </row>
    <row r="88" ht="11.25">
      <c r="A88" s="3" t="s">
        <v>51</v>
      </c>
    </row>
    <row r="89" ht="11.25">
      <c r="A89" s="3" t="s">
        <v>52</v>
      </c>
    </row>
    <row r="90" ht="11.25">
      <c r="A90" s="3" t="s">
        <v>53</v>
      </c>
    </row>
    <row r="91" ht="11.25">
      <c r="A91" s="3" t="s">
        <v>54</v>
      </c>
    </row>
    <row r="92" ht="11.25">
      <c r="A92" s="3" t="s">
        <v>55</v>
      </c>
    </row>
    <row r="93" ht="11.25">
      <c r="A93" s="3" t="s">
        <v>56</v>
      </c>
    </row>
    <row r="94" ht="11.25">
      <c r="A94" s="3" t="s">
        <v>57</v>
      </c>
    </row>
    <row r="95" ht="11.25">
      <c r="A95" s="3" t="s">
        <v>58</v>
      </c>
    </row>
    <row r="96" ht="11.25">
      <c r="A96" s="3"/>
    </row>
    <row r="104" ht="11.25">
      <c r="A104" s="15" t="s">
        <v>59</v>
      </c>
    </row>
    <row r="105" ht="11.25">
      <c r="C105" s="16" t="s">
        <v>60</v>
      </c>
    </row>
    <row r="107" ht="11.25">
      <c r="A107" s="15" t="s">
        <v>61</v>
      </c>
    </row>
    <row r="109" ht="11.25">
      <c r="A109" s="3" t="s">
        <v>62</v>
      </c>
    </row>
    <row r="111" spans="1:11" ht="11.25">
      <c r="A111" s="3" t="s">
        <v>63</v>
      </c>
      <c r="C111" s="4"/>
      <c r="D111" s="4"/>
      <c r="E111" s="4"/>
      <c r="F111" s="4"/>
      <c r="G111" s="4"/>
      <c r="H111" s="4"/>
      <c r="I111" s="4"/>
      <c r="J111" s="4"/>
      <c r="K111" s="4"/>
    </row>
    <row r="112" ht="11.25">
      <c r="A112" s="3" t="s">
        <v>64</v>
      </c>
    </row>
    <row r="113" ht="11.25">
      <c r="A113" s="3" t="s">
        <v>65</v>
      </c>
    </row>
    <row r="115" ht="11.25">
      <c r="A115" s="15" t="s">
        <v>66</v>
      </c>
    </row>
    <row r="124" ht="11.25">
      <c r="A124" s="15" t="s">
        <v>67</v>
      </c>
    </row>
    <row r="126" spans="1:3" ht="11.25">
      <c r="A126" s="3" t="s">
        <v>68</v>
      </c>
      <c r="C126" s="3" t="s">
        <v>69</v>
      </c>
    </row>
    <row r="127" spans="1:8" ht="11.25">
      <c r="A127" s="3" t="s">
        <v>70</v>
      </c>
      <c r="C127" s="5" t="s">
        <v>4</v>
      </c>
      <c r="D127" s="5" t="s">
        <v>4</v>
      </c>
      <c r="E127" s="5" t="s">
        <v>4</v>
      </c>
      <c r="F127" s="5" t="s">
        <v>4</v>
      </c>
      <c r="G127" s="5" t="s">
        <v>4</v>
      </c>
      <c r="H127" s="5" t="s">
        <v>4</v>
      </c>
    </row>
    <row r="128" spans="1:3" ht="11.25">
      <c r="A128" s="3" t="s">
        <v>71</v>
      </c>
      <c r="C128" s="15" t="s">
        <v>72</v>
      </c>
    </row>
    <row r="129" spans="1:3" ht="11.25">
      <c r="A129" s="3" t="s">
        <v>73</v>
      </c>
      <c r="C129" s="15" t="s">
        <v>74</v>
      </c>
    </row>
    <row r="130" ht="11.25">
      <c r="C130" s="6" t="s">
        <v>75</v>
      </c>
    </row>
    <row r="131" spans="1:3" ht="11.25">
      <c r="A131" s="3" t="s">
        <v>76</v>
      </c>
      <c r="C131" s="15" t="s">
        <v>77</v>
      </c>
    </row>
    <row r="132" spans="1:3" ht="11.25">
      <c r="A132" s="3" t="s">
        <v>78</v>
      </c>
      <c r="C132" s="15" t="s">
        <v>79</v>
      </c>
    </row>
    <row r="133" spans="1:3" ht="11.25">
      <c r="A133" s="3" t="s">
        <v>80</v>
      </c>
      <c r="C133" s="15" t="s">
        <v>81</v>
      </c>
    </row>
    <row r="134" spans="1:3" ht="11.25">
      <c r="A134" s="3" t="s">
        <v>82</v>
      </c>
      <c r="C134" s="3" t="s">
        <v>83</v>
      </c>
    </row>
    <row r="135" spans="1:3" ht="11.25">
      <c r="A135" s="3" t="s">
        <v>84</v>
      </c>
      <c r="C135" s="3" t="s">
        <v>85</v>
      </c>
    </row>
    <row r="136" spans="1:3" ht="11.25">
      <c r="A136" s="3" t="s">
        <v>86</v>
      </c>
      <c r="C136" s="3" t="s">
        <v>87</v>
      </c>
    </row>
    <row r="137" spans="1:3" ht="11.25">
      <c r="A137" s="3" t="s">
        <v>88</v>
      </c>
      <c r="C137" s="3" t="s">
        <v>89</v>
      </c>
    </row>
    <row r="138" spans="1:3" ht="11.25">
      <c r="A138" s="3" t="s">
        <v>90</v>
      </c>
      <c r="C138" s="3" t="s">
        <v>91</v>
      </c>
    </row>
    <row r="140" ht="11.25">
      <c r="A140" s="15" t="s">
        <v>66</v>
      </c>
    </row>
    <row r="144" ht="11.25">
      <c r="A144" s="15" t="s">
        <v>92</v>
      </c>
    </row>
    <row r="146" spans="1:3" ht="11.25">
      <c r="A146" s="3" t="s">
        <v>68</v>
      </c>
      <c r="C146" s="3" t="s">
        <v>69</v>
      </c>
    </row>
    <row r="147" spans="1:8" ht="11.25">
      <c r="A147" s="3" t="s">
        <v>93</v>
      </c>
      <c r="B147" s="5" t="s">
        <v>4</v>
      </c>
      <c r="C147" s="5" t="s">
        <v>4</v>
      </c>
      <c r="D147" s="5" t="s">
        <v>4</v>
      </c>
      <c r="E147" s="5" t="s">
        <v>4</v>
      </c>
      <c r="F147" s="5" t="s">
        <v>4</v>
      </c>
      <c r="G147" s="5" t="s">
        <v>4</v>
      </c>
      <c r="H147" s="5" t="s">
        <v>4</v>
      </c>
    </row>
    <row r="148" spans="1:3" ht="11.25">
      <c r="A148" s="3" t="s">
        <v>94</v>
      </c>
      <c r="C148" s="3" t="s">
        <v>95</v>
      </c>
    </row>
    <row r="149" spans="1:3" ht="11.25">
      <c r="A149" s="3" t="s">
        <v>96</v>
      </c>
      <c r="C149" s="3" t="s">
        <v>97</v>
      </c>
    </row>
    <row r="150" spans="1:3" ht="11.25">
      <c r="A150" s="3" t="s">
        <v>98</v>
      </c>
      <c r="C150" s="3" t="s">
        <v>99</v>
      </c>
    </row>
    <row r="151" spans="1:3" ht="11.25">
      <c r="A151" s="3" t="s">
        <v>100</v>
      </c>
      <c r="C151" s="3" t="s">
        <v>101</v>
      </c>
    </row>
    <row r="153" spans="2:3" ht="11.25">
      <c r="B153" s="6" t="s">
        <v>102</v>
      </c>
      <c r="C153" s="3" t="s">
        <v>103</v>
      </c>
    </row>
    <row r="154" ht="11.25">
      <c r="C154" s="3" t="s">
        <v>104</v>
      </c>
    </row>
    <row r="155" ht="11.25">
      <c r="C155" s="3" t="s">
        <v>105</v>
      </c>
    </row>
    <row r="156" ht="11.25">
      <c r="C156" s="3" t="s">
        <v>106</v>
      </c>
    </row>
    <row r="158" spans="1:3" ht="11.25">
      <c r="A158" s="3" t="s">
        <v>107</v>
      </c>
      <c r="C158" s="3" t="s">
        <v>108</v>
      </c>
    </row>
    <row r="159" spans="1:3" ht="11.25">
      <c r="A159" s="3" t="s">
        <v>109</v>
      </c>
      <c r="C159" s="15" t="s">
        <v>110</v>
      </c>
    </row>
    <row r="160" ht="11.25">
      <c r="C160" s="3" t="s">
        <v>111</v>
      </c>
    </row>
    <row r="162" ht="11.25">
      <c r="A162" s="15" t="s">
        <v>66</v>
      </c>
    </row>
    <row r="164" ht="11.25">
      <c r="A164" s="3" t="s">
        <v>112</v>
      </c>
    </row>
    <row r="165" ht="11.25">
      <c r="A165" s="3" t="s">
        <v>113</v>
      </c>
    </row>
    <row r="166" spans="1:3" ht="11.25">
      <c r="A166" s="3" t="s">
        <v>68</v>
      </c>
      <c r="C166" s="3" t="s">
        <v>69</v>
      </c>
    </row>
    <row r="167" spans="1:8" ht="11.25">
      <c r="A167" s="3" t="s">
        <v>93</v>
      </c>
      <c r="B167" s="5" t="s">
        <v>4</v>
      </c>
      <c r="C167" s="5" t="s">
        <v>4</v>
      </c>
      <c r="D167" s="5" t="s">
        <v>4</v>
      </c>
      <c r="E167" s="5" t="s">
        <v>4</v>
      </c>
      <c r="F167" s="5" t="s">
        <v>4</v>
      </c>
      <c r="G167" s="5" t="s">
        <v>4</v>
      </c>
      <c r="H167" s="5" t="s">
        <v>4</v>
      </c>
    </row>
    <row r="168" spans="1:3" ht="11.25">
      <c r="A168" s="3" t="s">
        <v>114</v>
      </c>
      <c r="C168" s="3" t="s">
        <v>115</v>
      </c>
    </row>
    <row r="173" ht="11.25">
      <c r="A173" s="3" t="s">
        <v>116</v>
      </c>
    </row>
    <row r="175" spans="1:3" ht="11.25">
      <c r="A175" s="3" t="s">
        <v>117</v>
      </c>
      <c r="C175" s="3" t="s">
        <v>69</v>
      </c>
    </row>
    <row r="176" spans="1:8" ht="11.25">
      <c r="A176" s="3" t="s">
        <v>118</v>
      </c>
      <c r="B176" s="5" t="s">
        <v>4</v>
      </c>
      <c r="C176" s="5" t="s">
        <v>4</v>
      </c>
      <c r="D176" s="5" t="s">
        <v>4</v>
      </c>
      <c r="E176" s="5" t="s">
        <v>4</v>
      </c>
      <c r="F176" s="5" t="s">
        <v>4</v>
      </c>
      <c r="G176" s="5" t="s">
        <v>4</v>
      </c>
      <c r="H176" s="5" t="s">
        <v>4</v>
      </c>
    </row>
    <row r="177" spans="1:3" ht="11.25">
      <c r="A177" s="3" t="s">
        <v>119</v>
      </c>
      <c r="C177" s="15" t="s">
        <v>120</v>
      </c>
    </row>
    <row r="178" spans="1:3" ht="11.25">
      <c r="A178" s="3" t="s">
        <v>121</v>
      </c>
      <c r="C178" s="15" t="s">
        <v>122</v>
      </c>
    </row>
    <row r="180" ht="11.25">
      <c r="A180" s="15" t="s">
        <v>123</v>
      </c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spans="1:5" ht="11.25">
      <c r="A203" s="3"/>
      <c r="E203" s="14"/>
    </row>
    <row r="209" ht="11.25">
      <c r="A209" s="3" t="s">
        <v>124</v>
      </c>
    </row>
    <row r="210" spans="1:11" ht="11.25">
      <c r="A210" s="5" t="s">
        <v>4</v>
      </c>
      <c r="C210" s="5" t="s">
        <v>4</v>
      </c>
      <c r="D210" s="5" t="s">
        <v>4</v>
      </c>
      <c r="E210" s="5" t="s">
        <v>4</v>
      </c>
      <c r="F210" s="5" t="s">
        <v>4</v>
      </c>
      <c r="G210" s="5" t="s">
        <v>4</v>
      </c>
      <c r="H210" s="5" t="s">
        <v>4</v>
      </c>
      <c r="I210" s="5" t="s">
        <v>4</v>
      </c>
      <c r="J210" s="5" t="s">
        <v>4</v>
      </c>
      <c r="K210" s="5" t="s">
        <v>4</v>
      </c>
    </row>
    <row r="211" ht="11.25">
      <c r="A211" s="3" t="s">
        <v>125</v>
      </c>
    </row>
    <row r="212" spans="1:6" ht="11.25">
      <c r="A212" s="5" t="s">
        <v>4</v>
      </c>
      <c r="B212" s="5" t="s">
        <v>4</v>
      </c>
      <c r="C212" s="5" t="s">
        <v>4</v>
      </c>
      <c r="D212" s="5" t="s">
        <v>4</v>
      </c>
      <c r="E212" s="5" t="s">
        <v>4</v>
      </c>
      <c r="F212" s="5" t="s">
        <v>4</v>
      </c>
    </row>
    <row r="213" ht="11.25">
      <c r="C213" s="3" t="s">
        <v>126</v>
      </c>
    </row>
    <row r="214" spans="1:4" ht="11.25">
      <c r="A214" s="3" t="s">
        <v>127</v>
      </c>
      <c r="C214" s="3" t="s">
        <v>128</v>
      </c>
      <c r="D214" s="6" t="s">
        <v>127</v>
      </c>
    </row>
    <row r="215" spans="1:6" ht="11.25">
      <c r="A215" s="5" t="s">
        <v>4</v>
      </c>
      <c r="B215" s="5" t="s">
        <v>4</v>
      </c>
      <c r="C215" s="5" t="s">
        <v>4</v>
      </c>
      <c r="D215" s="5" t="s">
        <v>4</v>
      </c>
      <c r="E215" s="5" t="s">
        <v>4</v>
      </c>
      <c r="F215" s="5" t="s">
        <v>4</v>
      </c>
    </row>
    <row r="216" spans="1:4" ht="11.25">
      <c r="A216" s="7">
        <v>65</v>
      </c>
      <c r="C216" s="7">
        <f aca="true" t="shared" si="21" ref="C216:C222">IF(D37&gt;0,0,IF(AND(D36&gt;0,D37=0),1,2))</f>
        <v>0</v>
      </c>
      <c r="D216" s="3" t="s">
        <v>129</v>
      </c>
    </row>
    <row r="217" spans="1:4" ht="11.25">
      <c r="A217" s="7">
        <v>70</v>
      </c>
      <c r="C217" s="7">
        <f t="shared" si="21"/>
        <v>0</v>
      </c>
      <c r="D217" s="3" t="s">
        <v>130</v>
      </c>
    </row>
    <row r="218" spans="1:4" ht="11.25">
      <c r="A218" s="7">
        <v>75</v>
      </c>
      <c r="C218" s="7">
        <f t="shared" si="21"/>
        <v>0</v>
      </c>
      <c r="D218" s="3" t="s">
        <v>131</v>
      </c>
    </row>
    <row r="219" spans="1:4" ht="11.25">
      <c r="A219" s="7">
        <v>80</v>
      </c>
      <c r="C219" s="7">
        <f t="shared" si="21"/>
        <v>1</v>
      </c>
      <c r="D219" s="3" t="s">
        <v>132</v>
      </c>
    </row>
    <row r="220" spans="1:4" ht="11.25">
      <c r="A220" s="7">
        <v>85</v>
      </c>
      <c r="C220" s="7">
        <f t="shared" si="21"/>
        <v>2</v>
      </c>
      <c r="D220" s="3" t="s">
        <v>133</v>
      </c>
    </row>
    <row r="221" spans="1:4" ht="11.25">
      <c r="A221" s="7">
        <v>90</v>
      </c>
      <c r="C221" s="7">
        <f t="shared" si="21"/>
        <v>2</v>
      </c>
      <c r="D221" s="3" t="s">
        <v>134</v>
      </c>
    </row>
    <row r="222" spans="1:4" ht="11.25">
      <c r="A222" s="7">
        <v>95</v>
      </c>
      <c r="C222" s="7">
        <f t="shared" si="21"/>
        <v>2</v>
      </c>
      <c r="D222" s="3" t="s">
        <v>135</v>
      </c>
    </row>
    <row r="223" spans="1:4" ht="11.25">
      <c r="A223" s="7">
        <v>100</v>
      </c>
      <c r="C223" s="7">
        <f>IF(D43&gt;0,1,2)</f>
        <v>2</v>
      </c>
      <c r="D223" s="3" t="s">
        <v>136</v>
      </c>
    </row>
    <row r="224" spans="1:6" ht="11.25">
      <c r="A224" s="5" t="s">
        <v>4</v>
      </c>
      <c r="C224" s="5" t="s">
        <v>4</v>
      </c>
      <c r="D224" s="5" t="s">
        <v>4</v>
      </c>
      <c r="E224" s="5" t="s">
        <v>4</v>
      </c>
      <c r="F224" s="5" t="s">
        <v>4</v>
      </c>
    </row>
    <row r="226" ht="11.25">
      <c r="A226" s="3" t="s">
        <v>137</v>
      </c>
    </row>
    <row r="227" spans="1:5" ht="11.25">
      <c r="A227" s="5" t="s">
        <v>4</v>
      </c>
      <c r="C227" s="5" t="s">
        <v>4</v>
      </c>
      <c r="D227" s="5" t="s">
        <v>4</v>
      </c>
      <c r="E227" s="5" t="s">
        <v>4</v>
      </c>
    </row>
    <row r="228" spans="1:5" ht="11.25">
      <c r="A228" s="6" t="s">
        <v>127</v>
      </c>
      <c r="C228" s="6" t="s">
        <v>9</v>
      </c>
      <c r="D228" s="6" t="s">
        <v>39</v>
      </c>
      <c r="E228" s="6" t="s">
        <v>39</v>
      </c>
    </row>
    <row r="229" spans="1:5" ht="11.25">
      <c r="A229" s="6" t="s">
        <v>138</v>
      </c>
      <c r="C229" s="6" t="s">
        <v>13</v>
      </c>
      <c r="D229" s="6" t="s">
        <v>139</v>
      </c>
      <c r="E229" s="6" t="s">
        <v>140</v>
      </c>
    </row>
    <row r="230" spans="1:5" ht="11.25">
      <c r="A230" s="5" t="s">
        <v>4</v>
      </c>
      <c r="C230" s="5" t="s">
        <v>4</v>
      </c>
      <c r="D230" s="5" t="s">
        <v>4</v>
      </c>
      <c r="E230" s="5" t="s">
        <v>4</v>
      </c>
    </row>
    <row r="231" spans="1:5" ht="11.25">
      <c r="A231" s="7">
        <v>0</v>
      </c>
      <c r="C231" s="7">
        <v>1</v>
      </c>
      <c r="D231" s="14">
        <f aca="true" t="shared" si="22" ref="D231:E244">LN(D22)</f>
        <v>-4.268697949366879</v>
      </c>
      <c r="E231" s="14">
        <f t="shared" si="22"/>
        <v>-5.809142990314028</v>
      </c>
    </row>
    <row r="232" spans="1:5" ht="11.25">
      <c r="A232" s="7">
        <v>1</v>
      </c>
      <c r="C232" s="7">
        <v>4</v>
      </c>
      <c r="D232" s="14">
        <f t="shared" si="22"/>
        <v>-5.843044541989709</v>
      </c>
      <c r="E232" s="14">
        <f t="shared" si="22"/>
        <v>-8.180720954795024</v>
      </c>
    </row>
    <row r="233" spans="1:5" ht="11.25">
      <c r="A233" s="7">
        <v>5</v>
      </c>
      <c r="C233" s="7">
        <v>5</v>
      </c>
      <c r="D233" s="14">
        <f t="shared" si="22"/>
        <v>-6.319968614080018</v>
      </c>
      <c r="E233" s="14">
        <f t="shared" si="22"/>
        <v>-8.517193191416238</v>
      </c>
    </row>
    <row r="234" spans="1:5" ht="11.25">
      <c r="A234" s="7">
        <v>10</v>
      </c>
      <c r="C234" s="7">
        <v>5</v>
      </c>
      <c r="D234" s="14">
        <f t="shared" si="22"/>
        <v>-6.2659013928097425</v>
      </c>
      <c r="E234" s="14">
        <f t="shared" si="22"/>
        <v>-9.210340371976182</v>
      </c>
    </row>
    <row r="235" spans="1:5" ht="11.25">
      <c r="A235" s="7">
        <v>15</v>
      </c>
      <c r="C235" s="7">
        <v>5</v>
      </c>
      <c r="D235" s="14">
        <f t="shared" si="22"/>
        <v>-4.947660494934867</v>
      </c>
      <c r="E235" s="14">
        <f t="shared" si="22"/>
        <v>-7.706262975199909</v>
      </c>
    </row>
    <row r="236" spans="1:5" ht="11.25">
      <c r="A236" s="7">
        <v>20</v>
      </c>
      <c r="C236" s="7">
        <v>5</v>
      </c>
      <c r="D236" s="14">
        <f t="shared" si="22"/>
        <v>-4.595219855134923</v>
      </c>
      <c r="E236" s="14">
        <f t="shared" si="22"/>
        <v>-7.264430222920869</v>
      </c>
    </row>
    <row r="237" spans="1:5" ht="11.25">
      <c r="A237" s="7">
        <v>25</v>
      </c>
      <c r="C237" s="7">
        <v>5</v>
      </c>
      <c r="D237" s="14">
        <f t="shared" si="22"/>
        <v>-4.62537289330561</v>
      </c>
      <c r="E237" s="14">
        <f t="shared" si="22"/>
        <v>-7.418580902748128</v>
      </c>
    </row>
    <row r="238" spans="1:5" ht="11.25">
      <c r="A238" s="7">
        <v>30</v>
      </c>
      <c r="C238" s="7">
        <v>5</v>
      </c>
      <c r="D238" s="14">
        <f t="shared" si="22"/>
        <v>-4.62537289330561</v>
      </c>
      <c r="E238" s="14">
        <f t="shared" si="22"/>
        <v>-6.959048573369688</v>
      </c>
    </row>
    <row r="239" spans="1:5" ht="11.25">
      <c r="A239" s="7">
        <v>35</v>
      </c>
      <c r="C239" s="7">
        <v>5</v>
      </c>
      <c r="D239" s="14">
        <f t="shared" si="22"/>
        <v>-4.406319327242926</v>
      </c>
      <c r="E239" s="14">
        <f t="shared" si="22"/>
        <v>-6.348139491046714</v>
      </c>
    </row>
    <row r="240" spans="1:5" ht="11.25">
      <c r="A240" s="7">
        <v>40</v>
      </c>
      <c r="C240" s="7">
        <v>5</v>
      </c>
      <c r="D240" s="14">
        <f t="shared" si="22"/>
        <v>-4.017383521085972</v>
      </c>
      <c r="E240" s="14">
        <f t="shared" si="22"/>
        <v>-5.809142990314028</v>
      </c>
    </row>
    <row r="241" spans="1:5" ht="11.25">
      <c r="A241" s="7">
        <v>45</v>
      </c>
      <c r="C241" s="7">
        <v>5</v>
      </c>
      <c r="D241" s="14">
        <f t="shared" si="22"/>
        <v>-3.547379891840237</v>
      </c>
      <c r="E241" s="14">
        <f t="shared" si="22"/>
        <v>-5.170804046249077</v>
      </c>
    </row>
    <row r="242" spans="1:5" ht="11.25">
      <c r="A242" s="7">
        <v>50</v>
      </c>
      <c r="C242" s="7">
        <v>5</v>
      </c>
      <c r="D242" s="14">
        <f t="shared" si="22"/>
        <v>-3.074775480894444</v>
      </c>
      <c r="E242" s="14">
        <f t="shared" si="22"/>
        <v>-4.645992180508347</v>
      </c>
    </row>
    <row r="243" spans="1:5" ht="11.25">
      <c r="A243" s="7">
        <v>55</v>
      </c>
      <c r="C243" s="7">
        <v>5</v>
      </c>
      <c r="D243" s="14">
        <f t="shared" si="22"/>
        <v>-2.64930970607961</v>
      </c>
      <c r="E243" s="14">
        <f t="shared" si="22"/>
        <v>-4.207065432286219</v>
      </c>
    </row>
    <row r="244" spans="1:5" ht="11.25">
      <c r="A244" s="7">
        <v>60</v>
      </c>
      <c r="C244" s="7">
        <v>5</v>
      </c>
      <c r="D244" s="14">
        <f t="shared" si="22"/>
        <v>-2.2433732333621994</v>
      </c>
      <c r="E244" s="14">
        <f t="shared" si="22"/>
        <v>-3.7541649208125656</v>
      </c>
    </row>
    <row r="245" spans="1:5" ht="11.25">
      <c r="A245" s="7">
        <f>IF(C216&lt;2,65,"")</f>
        <v>65</v>
      </c>
      <c r="C245" s="7">
        <f aca="true" t="shared" si="23" ref="C245:C252">CHOOSE(C216+1,5,"+","")</f>
        <v>5</v>
      </c>
      <c r="D245" s="14">
        <f aca="true" t="shared" si="24" ref="D245:E252">IF($C216=0,LN(D36),NA())</f>
        <v>-1.8508727337205617</v>
      </c>
      <c r="E245" s="14">
        <f t="shared" si="24"/>
        <v>-3.272276601595316</v>
      </c>
    </row>
    <row r="246" spans="1:5" ht="11.25">
      <c r="A246" s="7">
        <f>IF(C217&lt;2,70,"")</f>
        <v>70</v>
      </c>
      <c r="C246" s="7">
        <f t="shared" si="23"/>
        <v>5</v>
      </c>
      <c r="D246" s="14">
        <f t="shared" si="24"/>
        <v>-1.4876628555081794</v>
      </c>
      <c r="E246" s="14">
        <f t="shared" si="24"/>
        <v>-2.7244845075656348</v>
      </c>
    </row>
    <row r="247" spans="1:5" ht="11.25">
      <c r="A247" s="7">
        <f>IF(C218&lt;2,75,"")</f>
        <v>75</v>
      </c>
      <c r="C247" s="7">
        <f t="shared" si="23"/>
        <v>5</v>
      </c>
      <c r="D247" s="14">
        <f t="shared" si="24"/>
        <v>-1.1555001508751581</v>
      </c>
      <c r="E247" s="14">
        <f t="shared" si="24"/>
        <v>-2.1856023775084314</v>
      </c>
    </row>
    <row r="248" spans="1:5" ht="11.25">
      <c r="A248" s="7">
        <f>IF(C219&lt;2,80,"")</f>
        <v>80</v>
      </c>
      <c r="C248" s="7" t="str">
        <f t="shared" si="23"/>
        <v>+</v>
      </c>
      <c r="D248" s="14" t="e">
        <f t="shared" si="24"/>
        <v>#N/A</v>
      </c>
      <c r="E248" s="14" t="e">
        <f t="shared" si="24"/>
        <v>#N/A</v>
      </c>
    </row>
    <row r="249" spans="1:5" ht="11.25">
      <c r="A249" s="7">
        <f>IF(C220&lt;2,85,"")</f>
      </c>
      <c r="C249" s="7">
        <f t="shared" si="23"/>
      </c>
      <c r="D249" s="14" t="e">
        <f t="shared" si="24"/>
        <v>#N/A</v>
      </c>
      <c r="E249" s="14" t="e">
        <f t="shared" si="24"/>
        <v>#N/A</v>
      </c>
    </row>
    <row r="250" spans="1:5" ht="11.25">
      <c r="A250" s="7">
        <f>IF(C221&lt;2,90,"")</f>
      </c>
      <c r="C250" s="7">
        <f t="shared" si="23"/>
      </c>
      <c r="D250" s="14" t="e">
        <f t="shared" si="24"/>
        <v>#N/A</v>
      </c>
      <c r="E250" s="14" t="e">
        <f t="shared" si="24"/>
        <v>#N/A</v>
      </c>
    </row>
    <row r="251" spans="1:5" ht="11.25">
      <c r="A251" s="7">
        <f>IF(C222&lt;2,95,"")</f>
      </c>
      <c r="C251" s="7">
        <f t="shared" si="23"/>
      </c>
      <c r="D251" s="14" t="e">
        <f t="shared" si="24"/>
        <v>#N/A</v>
      </c>
      <c r="E251" s="14" t="e">
        <f t="shared" si="24"/>
        <v>#N/A</v>
      </c>
    </row>
    <row r="252" spans="1:5" ht="11.25">
      <c r="A252" s="7">
        <f>IF(C223&lt;2,100,"")</f>
      </c>
      <c r="C252" s="7">
        <f t="shared" si="23"/>
      </c>
      <c r="D252" s="14" t="e">
        <f t="shared" si="24"/>
        <v>#N/A</v>
      </c>
      <c r="E252" s="14" t="e">
        <f t="shared" si="24"/>
        <v>#N/A</v>
      </c>
    </row>
    <row r="253" spans="1:5" ht="11.25">
      <c r="A253" s="5" t="s">
        <v>4</v>
      </c>
      <c r="C253" s="5" t="s">
        <v>4</v>
      </c>
      <c r="D253" s="5" t="s">
        <v>4</v>
      </c>
      <c r="E253" s="5" t="s">
        <v>4</v>
      </c>
    </row>
    <row r="255" ht="11.25">
      <c r="A255" s="3" t="s">
        <v>141</v>
      </c>
    </row>
    <row r="256" spans="1:7" ht="11.25">
      <c r="A256" s="5" t="s">
        <v>4</v>
      </c>
      <c r="C256" s="5" t="s">
        <v>4</v>
      </c>
      <c r="D256" s="5" t="s">
        <v>4</v>
      </c>
      <c r="E256" s="5" t="s">
        <v>4</v>
      </c>
      <c r="F256" s="5" t="s">
        <v>4</v>
      </c>
      <c r="G256" s="5" t="s">
        <v>4</v>
      </c>
    </row>
    <row r="257" spans="1:7" ht="11.25">
      <c r="A257" s="3" t="s">
        <v>142</v>
      </c>
      <c r="D257" s="3" t="s">
        <v>39</v>
      </c>
      <c r="E257" s="3" t="s">
        <v>143</v>
      </c>
      <c r="F257" s="3" t="s">
        <v>42</v>
      </c>
      <c r="G257" s="3" t="s">
        <v>144</v>
      </c>
    </row>
    <row r="258" spans="1:7" ht="11.25">
      <c r="A258" s="5" t="s">
        <v>4</v>
      </c>
      <c r="C258" s="5" t="s">
        <v>4</v>
      </c>
      <c r="D258" s="5" t="s">
        <v>4</v>
      </c>
      <c r="E258" s="5" t="s">
        <v>4</v>
      </c>
      <c r="F258" s="5" t="s">
        <v>4</v>
      </c>
      <c r="G258" s="5" t="s">
        <v>4</v>
      </c>
    </row>
    <row r="259" spans="1:5" ht="11.25">
      <c r="A259" s="3" t="s">
        <v>145</v>
      </c>
      <c r="D259" s="11">
        <f>(E12-F12)/(E12-D12)</f>
        <v>0.7079237843341675</v>
      </c>
      <c r="E259" s="11">
        <f>1-D259</f>
        <v>0.29207621566583253</v>
      </c>
    </row>
    <row r="261" spans="1:7" ht="11.25">
      <c r="A261" s="7">
        <v>0</v>
      </c>
      <c r="D261" s="11">
        <f>EXP($D$259*$D$231+$E$259*$E$231)</f>
        <v>0.008927442606427475</v>
      </c>
      <c r="E261" s="13">
        <v>100000</v>
      </c>
      <c r="F261" s="13">
        <f>E262+G261*(E261-E262)</f>
        <v>99206.32402746727</v>
      </c>
      <c r="G261" s="7">
        <f>$D$259*$D$17+$E$259*$E$17</f>
        <v>0.11097051247206006</v>
      </c>
    </row>
    <row r="262" spans="1:7" ht="11.25">
      <c r="A262" s="7">
        <v>1</v>
      </c>
      <c r="D262" s="11">
        <f aca="true" t="shared" si="25" ref="D262:D274">EXP($D$259*D232+$E$259*E232)</f>
        <v>0.0014651110723356054</v>
      </c>
      <c r="E262" s="13">
        <f aca="true" t="shared" si="26" ref="E262:E282">(1-D261)*E261</f>
        <v>99107.25573935725</v>
      </c>
      <c r="F262" s="13">
        <f>4*E263+G262*(E262-E263)</f>
        <v>396084.954845595</v>
      </c>
      <c r="G262" s="7">
        <f>$D$259*$D$18+$E$259*$E$18</f>
        <v>1.63043611035613</v>
      </c>
    </row>
    <row r="263" spans="1:6" ht="11.25">
      <c r="A263" s="7">
        <v>5</v>
      </c>
      <c r="D263" s="11">
        <f t="shared" si="25"/>
        <v>0.0009474601749592372</v>
      </c>
      <c r="E263" s="13">
        <f t="shared" si="26"/>
        <v>98962.05260162472</v>
      </c>
      <c r="F263" s="13">
        <f aca="true" t="shared" si="27" ref="F263:F274">2.5*(E263+E264)</f>
        <v>494575.8564989429</v>
      </c>
    </row>
    <row r="264" spans="1:6" ht="11.25">
      <c r="A264" s="7">
        <v>10</v>
      </c>
      <c r="D264" s="11">
        <f t="shared" si="25"/>
        <v>0.00080400747858684</v>
      </c>
      <c r="E264" s="13">
        <f t="shared" si="26"/>
        <v>98868.28999795245</v>
      </c>
      <c r="F264" s="13">
        <f t="shared" si="27"/>
        <v>494142.72287837864</v>
      </c>
    </row>
    <row r="265" spans="1:6" ht="11.25">
      <c r="A265" s="7">
        <v>15</v>
      </c>
      <c r="D265" s="11">
        <f t="shared" si="25"/>
        <v>0.003172032694963669</v>
      </c>
      <c r="E265" s="13">
        <f t="shared" si="26"/>
        <v>98788.799153399</v>
      </c>
      <c r="F265" s="13">
        <f t="shared" si="27"/>
        <v>493160.592514968</v>
      </c>
    </row>
    <row r="266" spans="1:6" ht="11.25">
      <c r="A266" s="7">
        <v>20</v>
      </c>
      <c r="D266" s="11">
        <f t="shared" si="25"/>
        <v>0.004631693466873354</v>
      </c>
      <c r="E266" s="13">
        <f t="shared" si="26"/>
        <v>98475.43785258822</v>
      </c>
      <c r="F266" s="13">
        <f t="shared" si="27"/>
        <v>491236.9191575678</v>
      </c>
    </row>
    <row r="267" spans="1:6" ht="11.25">
      <c r="A267" s="7">
        <v>25</v>
      </c>
      <c r="D267" s="11">
        <f t="shared" si="25"/>
        <v>0.0043342680991168454</v>
      </c>
      <c r="E267" s="13">
        <f t="shared" si="26"/>
        <v>98019.3298104389</v>
      </c>
      <c r="F267" s="13">
        <f t="shared" si="27"/>
        <v>489034.54391645896</v>
      </c>
    </row>
    <row r="268" spans="1:6" ht="11.25">
      <c r="A268" s="7">
        <v>30</v>
      </c>
      <c r="D268" s="11">
        <f t="shared" si="25"/>
        <v>0.00495685379749125</v>
      </c>
      <c r="E268" s="13">
        <f t="shared" si="26"/>
        <v>97594.48775614469</v>
      </c>
      <c r="F268" s="13">
        <f t="shared" si="27"/>
        <v>486763.03476260277</v>
      </c>
    </row>
    <row r="269" spans="1:6" ht="11.25">
      <c r="A269" s="7">
        <v>35</v>
      </c>
      <c r="D269" s="11">
        <f t="shared" si="25"/>
        <v>0.006919036091501684</v>
      </c>
      <c r="E269" s="13">
        <f t="shared" si="26"/>
        <v>97110.72614889643</v>
      </c>
      <c r="F269" s="13">
        <f t="shared" si="27"/>
        <v>483873.8491967418</v>
      </c>
    </row>
    <row r="270" spans="1:6" ht="11.25">
      <c r="A270" s="7">
        <v>40</v>
      </c>
      <c r="D270" s="11">
        <f t="shared" si="25"/>
        <v>0.010665790101181813</v>
      </c>
      <c r="E270" s="13">
        <f t="shared" si="26"/>
        <v>96438.81352980027</v>
      </c>
      <c r="F270" s="13">
        <f t="shared" si="27"/>
        <v>479622.5772922117</v>
      </c>
    </row>
    <row r="271" spans="1:6" ht="11.25">
      <c r="A271" s="7">
        <v>45</v>
      </c>
      <c r="D271" s="11">
        <f t="shared" si="25"/>
        <v>0.017925276355726705</v>
      </c>
      <c r="E271" s="13">
        <f t="shared" si="26"/>
        <v>95410.21738708441</v>
      </c>
      <c r="F271" s="13">
        <f t="shared" si="27"/>
        <v>472775.4506508634</v>
      </c>
    </row>
    <row r="272" spans="1:6" ht="11.25">
      <c r="A272" s="7">
        <v>50</v>
      </c>
      <c r="D272" s="11">
        <f t="shared" si="25"/>
        <v>0.029196965144741006</v>
      </c>
      <c r="E272" s="13">
        <f t="shared" si="26"/>
        <v>93699.96287326096</v>
      </c>
      <c r="F272" s="13">
        <f t="shared" si="27"/>
        <v>461660.4279911195</v>
      </c>
    </row>
    <row r="273" spans="1:6" ht="11.25">
      <c r="A273" s="7">
        <v>55</v>
      </c>
      <c r="D273" s="11">
        <f t="shared" si="25"/>
        <v>0.04485621605567701</v>
      </c>
      <c r="E273" s="13">
        <f t="shared" si="26"/>
        <v>90964.20832318683</v>
      </c>
      <c r="F273" s="13">
        <f t="shared" si="27"/>
        <v>444620.26616123796</v>
      </c>
    </row>
    <row r="274" spans="1:6" ht="11.25">
      <c r="A274" s="7">
        <v>60</v>
      </c>
      <c r="D274" s="11">
        <f t="shared" si="25"/>
        <v>0.06824578861524173</v>
      </c>
      <c r="E274" s="13">
        <f t="shared" si="26"/>
        <v>86883.89814130835</v>
      </c>
      <c r="F274" s="13">
        <f t="shared" si="27"/>
        <v>419595.84033999196</v>
      </c>
    </row>
    <row r="275" spans="1:7" ht="11.25">
      <c r="A275" s="7">
        <v>65</v>
      </c>
      <c r="D275" s="11">
        <f>CHOOSE($C$216+1,EXP(D259*$D$245+E259*$E$245),1,0)</f>
        <v>0.10372304131511369</v>
      </c>
      <c r="E275" s="13">
        <f t="shared" si="26"/>
        <v>80954.43799468843</v>
      </c>
      <c r="F275" s="13">
        <f>CHOOSE($C$216+1,2.5*(E275+E276),G275*E275,0)</f>
        <v>383780.08868153</v>
      </c>
      <c r="G275" s="12">
        <f>IF($C$216=1,D259*$D$13+E259*$E$13,"")</f>
      </c>
    </row>
    <row r="276" spans="1:7" ht="11.25">
      <c r="A276" s="7">
        <v>70</v>
      </c>
      <c r="D276" s="11">
        <f aca="true" t="shared" si="28" ref="D276:D282">CHOOSE(C217+1,EXP($D$259*D246+$E$259*E246),1,0)</f>
        <v>0.1574087988908395</v>
      </c>
      <c r="E276" s="13">
        <f t="shared" si="26"/>
        <v>72557.59747792355</v>
      </c>
      <c r="F276" s="13">
        <f aca="true" t="shared" si="29" ref="F276:F282">CHOOSE(C217+1,2.5*(E276+E277),G276*E276,0)</f>
        <v>334234.97671610536</v>
      </c>
      <c r="G276" s="12">
        <f aca="true" t="shared" si="30" ref="G276:G282">IF(C217=1,$D$259*$D$13+$E$259*$E$13,"")</f>
      </c>
    </row>
    <row r="277" spans="1:7" ht="11.25">
      <c r="A277" s="7">
        <v>75</v>
      </c>
      <c r="D277" s="11">
        <f t="shared" si="28"/>
        <v>0.23308117139965176</v>
      </c>
      <c r="E277" s="13">
        <f t="shared" si="26"/>
        <v>61136.3932085186</v>
      </c>
      <c r="F277" s="13">
        <f t="shared" si="29"/>
        <v>270057.61068211496</v>
      </c>
      <c r="G277" s="12">
        <f t="shared" si="30"/>
      </c>
    </row>
    <row r="278" spans="1:7" ht="11.25">
      <c r="A278" s="7">
        <v>80</v>
      </c>
      <c r="D278" s="11">
        <f t="shared" si="28"/>
        <v>1</v>
      </c>
      <c r="E278" s="13">
        <f t="shared" si="26"/>
        <v>46886.65106432737</v>
      </c>
      <c r="F278" s="13">
        <f t="shared" si="29"/>
        <v>408005.7522889681</v>
      </c>
      <c r="G278" s="12">
        <f t="shared" si="30"/>
        <v>8.701959790840977</v>
      </c>
    </row>
    <row r="279" spans="1:7" ht="11.25">
      <c r="A279" s="7">
        <v>85</v>
      </c>
      <c r="D279" s="11">
        <f t="shared" si="28"/>
        <v>0</v>
      </c>
      <c r="E279" s="13">
        <f t="shared" si="26"/>
        <v>0</v>
      </c>
      <c r="F279" s="13">
        <f t="shared" si="29"/>
        <v>0</v>
      </c>
      <c r="G279" s="12">
        <f t="shared" si="30"/>
      </c>
    </row>
    <row r="280" spans="1:7" ht="11.25">
      <c r="A280" s="7">
        <v>90</v>
      </c>
      <c r="D280" s="11">
        <f t="shared" si="28"/>
        <v>0</v>
      </c>
      <c r="E280" s="13">
        <f t="shared" si="26"/>
        <v>0</v>
      </c>
      <c r="F280" s="13">
        <f t="shared" si="29"/>
        <v>0</v>
      </c>
      <c r="G280" s="12">
        <f t="shared" si="30"/>
      </c>
    </row>
    <row r="281" spans="1:7" ht="11.25">
      <c r="A281" s="7">
        <v>95</v>
      </c>
      <c r="D281" s="11">
        <f t="shared" si="28"/>
        <v>0</v>
      </c>
      <c r="E281" s="13">
        <f t="shared" si="26"/>
        <v>0</v>
      </c>
      <c r="F281" s="13">
        <f t="shared" si="29"/>
        <v>0</v>
      </c>
      <c r="G281" s="12">
        <f t="shared" si="30"/>
      </c>
    </row>
    <row r="282" spans="1:7" ht="11.25">
      <c r="A282" s="7">
        <v>100</v>
      </c>
      <c r="D282" s="11">
        <f t="shared" si="28"/>
        <v>0</v>
      </c>
      <c r="E282" s="13">
        <f t="shared" si="26"/>
        <v>0</v>
      </c>
      <c r="F282" s="13">
        <f t="shared" si="29"/>
        <v>0</v>
      </c>
      <c r="G282" s="12">
        <f t="shared" si="30"/>
      </c>
    </row>
    <row r="284" spans="1:4" ht="11.25">
      <c r="A284" s="3" t="s">
        <v>146</v>
      </c>
      <c r="D284" s="13">
        <f>SUM(F261:F282)</f>
        <v>7602431.788602865</v>
      </c>
    </row>
    <row r="285" spans="1:4" ht="11.25">
      <c r="A285" s="3" t="s">
        <v>147</v>
      </c>
      <c r="D285" s="14">
        <f>SUM(F261:F282)/E261</f>
        <v>76.02431788602865</v>
      </c>
    </row>
    <row r="287" ht="11.25">
      <c r="A287" s="3" t="s">
        <v>148</v>
      </c>
    </row>
    <row r="288" spans="1:4" ht="11.25">
      <c r="A288" s="3" t="s">
        <v>149</v>
      </c>
      <c r="D288" s="7">
        <f>(E259*($E$12-D285)+D259*($D$12-D285))/((D285*D285-$E$12*$E$12)*($D$12-D285)+($D$12*$D$12-D285*D285)*($E$12-D285))</f>
        <v>-0.0008746453938750573</v>
      </c>
    </row>
    <row r="289" spans="1:4" ht="11.25">
      <c r="A289" s="3" t="s">
        <v>150</v>
      </c>
      <c r="D289" s="7">
        <f>(D288*(D285*D285-$E$12*$E$12)-D259)/($E$12-D285)</f>
        <v>0.07952143316683839</v>
      </c>
    </row>
    <row r="290" spans="1:4" ht="11.25">
      <c r="A290" s="3" t="s">
        <v>151</v>
      </c>
      <c r="D290" s="7">
        <f>-D289*$E$12-D288*$E$12*$E$12</f>
        <v>-0.2824536491373033</v>
      </c>
    </row>
    <row r="291" spans="1:7" ht="11.25">
      <c r="A291" s="5" t="s">
        <v>4</v>
      </c>
      <c r="C291" s="5" t="s">
        <v>4</v>
      </c>
      <c r="D291" s="5" t="s">
        <v>4</v>
      </c>
      <c r="E291" s="5" t="s">
        <v>4</v>
      </c>
      <c r="F291" s="5" t="s">
        <v>4</v>
      </c>
      <c r="G291" s="5" t="s">
        <v>4</v>
      </c>
    </row>
    <row r="295" ht="11.25">
      <c r="A295" s="3" t="s">
        <v>152</v>
      </c>
    </row>
    <row r="296" spans="1:7" ht="11.25">
      <c r="A296" s="5" t="s">
        <v>4</v>
      </c>
      <c r="C296" s="5" t="s">
        <v>4</v>
      </c>
      <c r="D296" s="5" t="s">
        <v>4</v>
      </c>
      <c r="E296" s="5" t="s">
        <v>4</v>
      </c>
      <c r="F296" s="5" t="s">
        <v>4</v>
      </c>
      <c r="G296" s="5" t="s">
        <v>4</v>
      </c>
    </row>
    <row r="297" spans="1:7" ht="11.25">
      <c r="A297" s="3" t="s">
        <v>142</v>
      </c>
      <c r="D297" s="3" t="s">
        <v>39</v>
      </c>
      <c r="E297" s="3" t="s">
        <v>143</v>
      </c>
      <c r="F297" s="3" t="s">
        <v>42</v>
      </c>
      <c r="G297" s="3" t="s">
        <v>144</v>
      </c>
    </row>
    <row r="298" spans="1:7" ht="11.25">
      <c r="A298" s="5" t="s">
        <v>4</v>
      </c>
      <c r="C298" s="5" t="s">
        <v>4</v>
      </c>
      <c r="D298" s="5" t="s">
        <v>4</v>
      </c>
      <c r="E298" s="5" t="s">
        <v>4</v>
      </c>
      <c r="F298" s="5" t="s">
        <v>4</v>
      </c>
      <c r="G298" s="5" t="s">
        <v>4</v>
      </c>
    </row>
    <row r="299" spans="1:5" ht="11.25">
      <c r="A299" s="3" t="s">
        <v>145</v>
      </c>
      <c r="D299" s="11">
        <f>D290+D289*F12+D288*F12*F12</f>
        <v>0.7617734978283783</v>
      </c>
      <c r="E299" s="11">
        <f>1-D299</f>
        <v>0.23822650217162167</v>
      </c>
    </row>
    <row r="301" spans="1:7" ht="11.25">
      <c r="A301" s="7">
        <v>0</v>
      </c>
      <c r="D301" s="11">
        <f aca="true" t="shared" si="31" ref="D301:D314">EXP($D$299*D231+$E$299*E231)</f>
        <v>0.009699579128201408</v>
      </c>
      <c r="E301" s="13">
        <v>100000</v>
      </c>
      <c r="F301" s="13">
        <f>E302+G301*(E301-E302)</f>
        <v>99141.43951465272</v>
      </c>
      <c r="G301" s="7">
        <f>D299*$D$17+E299*$E$17</f>
        <v>0.11484769184364324</v>
      </c>
    </row>
    <row r="302" spans="1:7" ht="11.25">
      <c r="A302" s="7">
        <v>1</v>
      </c>
      <c r="D302" s="11">
        <f t="shared" si="31"/>
        <v>0.001661655279661312</v>
      </c>
      <c r="E302" s="13">
        <f aca="true" t="shared" si="32" ref="E302:E322">(1-D301)*E301</f>
        <v>99030.04208717986</v>
      </c>
      <c r="F302" s="13">
        <f>4*E303+G302*(E302-E303)</f>
        <v>395731.62996786326</v>
      </c>
      <c r="G302" s="7">
        <f>D299*$D$18+E299*$E$18</f>
        <v>1.638836665661227</v>
      </c>
    </row>
    <row r="303" spans="1:6" ht="11.25">
      <c r="A303" s="7">
        <v>5</v>
      </c>
      <c r="D303" s="11">
        <f t="shared" si="31"/>
        <v>0.0010664651051478947</v>
      </c>
      <c r="E303" s="13">
        <f t="shared" si="32"/>
        <v>98865.48829490061</v>
      </c>
      <c r="F303" s="13">
        <f aca="true" t="shared" si="33" ref="F303:F314">2.5*(E303+E304)</f>
        <v>494063.8499910783</v>
      </c>
    </row>
    <row r="304" spans="1:6" ht="11.25">
      <c r="A304" s="7">
        <v>10</v>
      </c>
      <c r="D304" s="11">
        <f t="shared" si="31"/>
        <v>0.0009421511953266545</v>
      </c>
      <c r="E304" s="13">
        <f t="shared" si="32"/>
        <v>98760.0517015307</v>
      </c>
      <c r="F304" s="13">
        <f t="shared" si="33"/>
        <v>493567.64125575067</v>
      </c>
    </row>
    <row r="305" spans="1:6" ht="11.25">
      <c r="A305" s="7">
        <v>15</v>
      </c>
      <c r="D305" s="11">
        <f t="shared" si="31"/>
        <v>0.0036800361087453706</v>
      </c>
      <c r="E305" s="13">
        <f t="shared" si="32"/>
        <v>98667.00480076957</v>
      </c>
      <c r="F305" s="13">
        <f t="shared" si="33"/>
        <v>492427.27865282644</v>
      </c>
    </row>
    <row r="306" spans="1:6" ht="11.25">
      <c r="A306" s="7">
        <v>20</v>
      </c>
      <c r="D306" s="11">
        <f t="shared" si="31"/>
        <v>0.005347658354626435</v>
      </c>
      <c r="E306" s="13">
        <f t="shared" si="32"/>
        <v>98303.906660361</v>
      </c>
      <c r="F306" s="13">
        <f t="shared" si="33"/>
        <v>490205.2940324432</v>
      </c>
    </row>
    <row r="307" spans="1:6" ht="11.25">
      <c r="A307" s="7">
        <v>25</v>
      </c>
      <c r="D307" s="11">
        <f t="shared" si="31"/>
        <v>0.005037783541029653</v>
      </c>
      <c r="E307" s="13">
        <f t="shared" si="32"/>
        <v>97778.2109526163</v>
      </c>
      <c r="F307" s="13">
        <f t="shared" si="33"/>
        <v>487659.59110856045</v>
      </c>
    </row>
    <row r="308" spans="1:6" ht="11.25">
      <c r="A308" s="7">
        <v>30</v>
      </c>
      <c r="D308" s="11">
        <f t="shared" si="31"/>
        <v>0.0056206032118312705</v>
      </c>
      <c r="E308" s="13">
        <f t="shared" si="32"/>
        <v>97285.62549080788</v>
      </c>
      <c r="F308" s="13">
        <f t="shared" si="33"/>
        <v>485061.1177062929</v>
      </c>
    </row>
    <row r="309" spans="1:6" ht="11.25">
      <c r="A309" s="7">
        <v>35</v>
      </c>
      <c r="D309" s="11">
        <f t="shared" si="31"/>
        <v>0.007681715743190785</v>
      </c>
      <c r="E309" s="13">
        <f t="shared" si="32"/>
        <v>96738.82159170925</v>
      </c>
      <c r="F309" s="13">
        <f t="shared" si="33"/>
        <v>481836.30763654935</v>
      </c>
    </row>
    <row r="310" spans="1:6" ht="11.25">
      <c r="A310" s="7">
        <v>40</v>
      </c>
      <c r="D310" s="11">
        <f t="shared" si="31"/>
        <v>0.011746169257658517</v>
      </c>
      <c r="E310" s="13">
        <f t="shared" si="32"/>
        <v>95995.7014629105</v>
      </c>
      <c r="F310" s="13">
        <f t="shared" si="33"/>
        <v>477159.5529210749</v>
      </c>
    </row>
    <row r="311" spans="1:6" ht="11.25">
      <c r="A311" s="7">
        <v>45</v>
      </c>
      <c r="D311" s="11">
        <f t="shared" si="31"/>
        <v>0.019562857233991808</v>
      </c>
      <c r="E311" s="13">
        <f t="shared" si="32"/>
        <v>94868.1197055195</v>
      </c>
      <c r="F311" s="13">
        <f t="shared" si="33"/>
        <v>469700.8698229567</v>
      </c>
    </row>
    <row r="312" spans="1:6" ht="11.25">
      <c r="A312" s="7">
        <v>50</v>
      </c>
      <c r="D312" s="11">
        <f t="shared" si="31"/>
        <v>0.03177482595321653</v>
      </c>
      <c r="E312" s="13">
        <f t="shared" si="32"/>
        <v>93012.22822366317</v>
      </c>
      <c r="F312" s="13">
        <f t="shared" si="33"/>
        <v>457672.5227099965</v>
      </c>
    </row>
    <row r="313" spans="1:6" ht="11.25">
      <c r="A313" s="7">
        <v>55</v>
      </c>
      <c r="D313" s="11">
        <f t="shared" si="31"/>
        <v>0.04878129181993022</v>
      </c>
      <c r="E313" s="13">
        <f t="shared" si="32"/>
        <v>90056.78086033542</v>
      </c>
      <c r="F313" s="13">
        <f t="shared" si="33"/>
        <v>439301.1890328983</v>
      </c>
    </row>
    <row r="314" spans="1:6" ht="11.25">
      <c r="A314" s="7">
        <v>60</v>
      </c>
      <c r="D314" s="11">
        <f t="shared" si="31"/>
        <v>0.07403007476690782</v>
      </c>
      <c r="E314" s="13">
        <f t="shared" si="32"/>
        <v>85663.6947528239</v>
      </c>
      <c r="F314" s="13">
        <f t="shared" si="33"/>
        <v>412464.24944571673</v>
      </c>
    </row>
    <row r="315" spans="1:7" ht="11.25">
      <c r="A315" s="7">
        <v>65</v>
      </c>
      <c r="D315" s="11">
        <f aca="true" t="shared" si="34" ref="D315:D322">CHOOSE(C216+1,EXP($D$299*D245+$E$299*E245),1,0)</f>
        <v>0.11197397448739112</v>
      </c>
      <c r="E315" s="13">
        <f t="shared" si="32"/>
        <v>79322.00502546277</v>
      </c>
      <c r="F315" s="13">
        <f aca="true" t="shared" si="35" ref="F315:F322">CHOOSE(C216+1,2.5*(E315+E316),G315*E315,0)</f>
        <v>374405.02470978914</v>
      </c>
      <c r="G315" s="12">
        <f aca="true" t="shared" si="36" ref="G315:G322">IF(C216=1,$D$299*$D$13+$E$299*$E$13,"")</f>
      </c>
    </row>
    <row r="316" spans="1:7" ht="11.25">
      <c r="A316" s="7">
        <v>70</v>
      </c>
      <c r="D316" s="11">
        <f t="shared" si="34"/>
        <v>0.16824962294701498</v>
      </c>
      <c r="E316" s="13">
        <f t="shared" si="32"/>
        <v>70440.0048584529</v>
      </c>
      <c r="F316" s="13">
        <f t="shared" si="35"/>
        <v>322571.263647713</v>
      </c>
      <c r="G316" s="12">
        <f t="shared" si="36"/>
      </c>
    </row>
    <row r="317" spans="1:7" ht="11.25">
      <c r="A317" s="7">
        <v>75</v>
      </c>
      <c r="D317" s="11">
        <f t="shared" si="34"/>
        <v>0.2463756682448168</v>
      </c>
      <c r="E317" s="13">
        <f t="shared" si="32"/>
        <v>58588.500600632295</v>
      </c>
      <c r="F317" s="13">
        <f t="shared" si="35"/>
        <v>256855.55053580488</v>
      </c>
      <c r="G317" s="12">
        <f t="shared" si="36"/>
      </c>
    </row>
    <row r="318" spans="1:7" ht="11.25">
      <c r="A318" s="7">
        <v>80</v>
      </c>
      <c r="D318" s="11">
        <f t="shared" si="34"/>
        <v>1</v>
      </c>
      <c r="E318" s="13">
        <f t="shared" si="32"/>
        <v>44153.71961368966</v>
      </c>
      <c r="F318" s="13">
        <f t="shared" si="35"/>
        <v>368008.2163652498</v>
      </c>
      <c r="G318" s="12">
        <f t="shared" si="36"/>
        <v>8.334704744810459</v>
      </c>
    </row>
    <row r="319" spans="1:7" ht="11.25">
      <c r="A319" s="7">
        <v>85</v>
      </c>
      <c r="D319" s="11">
        <f t="shared" si="34"/>
        <v>0</v>
      </c>
      <c r="E319" s="13">
        <f t="shared" si="32"/>
        <v>0</v>
      </c>
      <c r="F319" s="13">
        <f t="shared" si="35"/>
        <v>0</v>
      </c>
      <c r="G319" s="12">
        <f t="shared" si="36"/>
      </c>
    </row>
    <row r="320" spans="1:7" ht="11.25">
      <c r="A320" s="7">
        <v>90</v>
      </c>
      <c r="D320" s="11">
        <f t="shared" si="34"/>
        <v>0</v>
      </c>
      <c r="E320" s="13">
        <f t="shared" si="32"/>
        <v>0</v>
      </c>
      <c r="F320" s="13">
        <f t="shared" si="35"/>
        <v>0</v>
      </c>
      <c r="G320" s="12">
        <f t="shared" si="36"/>
      </c>
    </row>
    <row r="321" spans="1:7" ht="11.25">
      <c r="A321" s="7">
        <v>95</v>
      </c>
      <c r="D321" s="11">
        <f t="shared" si="34"/>
        <v>0</v>
      </c>
      <c r="E321" s="13">
        <f t="shared" si="32"/>
        <v>0</v>
      </c>
      <c r="F321" s="13">
        <f t="shared" si="35"/>
        <v>0</v>
      </c>
      <c r="G321" s="12">
        <f t="shared" si="36"/>
      </c>
    </row>
    <row r="322" spans="1:7" ht="11.25">
      <c r="A322" s="7">
        <v>100</v>
      </c>
      <c r="D322" s="11">
        <f t="shared" si="34"/>
        <v>0</v>
      </c>
      <c r="E322" s="13">
        <f t="shared" si="32"/>
        <v>0</v>
      </c>
      <c r="F322" s="13">
        <f t="shared" si="35"/>
        <v>0</v>
      </c>
      <c r="G322" s="12">
        <f t="shared" si="36"/>
      </c>
    </row>
    <row r="324" spans="1:4" ht="11.25">
      <c r="A324" s="3" t="s">
        <v>146</v>
      </c>
      <c r="D324" s="13">
        <f>SUM(F301:F322)</f>
        <v>7497832.589057216</v>
      </c>
    </row>
    <row r="325" spans="1:4" ht="11.25">
      <c r="A325" s="3" t="s">
        <v>147</v>
      </c>
      <c r="D325" s="14">
        <f>SUM(F301:F322)/E301</f>
        <v>74.97832589057217</v>
      </c>
    </row>
    <row r="327" ht="11.25">
      <c r="A327" s="3" t="s">
        <v>148</v>
      </c>
    </row>
    <row r="328" spans="1:4" ht="11.25">
      <c r="A328" s="3" t="s">
        <v>149</v>
      </c>
      <c r="D328" s="7">
        <f>(E299*($E$12-D325)+D299*($D$12-D325))/((D325*D325-$E$12*$E$12)*($D$12-D325)+($D$12*$D$12-D325*D325)*($E$12-D325))</f>
        <v>-0.0008564141637341593</v>
      </c>
    </row>
    <row r="329" spans="1:4" ht="11.25">
      <c r="A329" s="3" t="s">
        <v>150</v>
      </c>
      <c r="D329" s="7">
        <f>(D328*(D325*D325-$E$12*$E$12)-D299)/($E$12-D325)</f>
        <v>0.07665592553139554</v>
      </c>
    </row>
    <row r="330" spans="1:4" ht="11.25">
      <c r="A330" s="3" t="s">
        <v>151</v>
      </c>
      <c r="D330" s="7">
        <f>-D329*$E$12-D328*$E$12*$E$12</f>
        <v>-0.17121369693330113</v>
      </c>
    </row>
    <row r="331" spans="1:7" ht="11.25">
      <c r="A331" s="5" t="s">
        <v>4</v>
      </c>
      <c r="C331" s="5" t="s">
        <v>4</v>
      </c>
      <c r="D331" s="5" t="s">
        <v>4</v>
      </c>
      <c r="E331" s="5" t="s">
        <v>4</v>
      </c>
      <c r="F331" s="5" t="s">
        <v>4</v>
      </c>
      <c r="G331" s="5" t="s">
        <v>4</v>
      </c>
    </row>
    <row r="335" ht="11.25">
      <c r="A335" s="3" t="s">
        <v>153</v>
      </c>
    </row>
    <row r="336" spans="1:7" ht="11.25">
      <c r="A336" s="5" t="s">
        <v>4</v>
      </c>
      <c r="C336" s="5" t="s">
        <v>4</v>
      </c>
      <c r="D336" s="5" t="s">
        <v>4</v>
      </c>
      <c r="E336" s="5" t="s">
        <v>4</v>
      </c>
      <c r="F336" s="5" t="s">
        <v>4</v>
      </c>
      <c r="G336" s="5" t="s">
        <v>4</v>
      </c>
    </row>
    <row r="337" spans="1:7" ht="11.25">
      <c r="A337" s="3" t="s">
        <v>142</v>
      </c>
      <c r="D337" s="3" t="s">
        <v>39</v>
      </c>
      <c r="E337" s="3" t="s">
        <v>143</v>
      </c>
      <c r="F337" s="3" t="s">
        <v>42</v>
      </c>
      <c r="G337" s="3" t="s">
        <v>144</v>
      </c>
    </row>
    <row r="338" spans="1:7" ht="11.25">
      <c r="A338" s="5" t="s">
        <v>4</v>
      </c>
      <c r="C338" s="5" t="s">
        <v>4</v>
      </c>
      <c r="D338" s="5" t="s">
        <v>4</v>
      </c>
      <c r="E338" s="5" t="s">
        <v>4</v>
      </c>
      <c r="F338" s="5" t="s">
        <v>4</v>
      </c>
      <c r="G338" s="5" t="s">
        <v>4</v>
      </c>
    </row>
    <row r="339" spans="1:5" ht="11.25">
      <c r="A339" s="3" t="s">
        <v>145</v>
      </c>
      <c r="D339" s="11">
        <f>D330+D329*$F$12+D328*$F$12*$F$12</f>
        <v>0.7606510469167178</v>
      </c>
      <c r="E339" s="11">
        <f>1-D339</f>
        <v>0.2393489530832822</v>
      </c>
    </row>
    <row r="341" spans="1:7" ht="11.25">
      <c r="A341" s="7">
        <v>0</v>
      </c>
      <c r="D341" s="11">
        <f aca="true" t="shared" si="37" ref="D341:D354">EXP($D$339*D231+$E$339*E231)</f>
        <v>0.009682822329742885</v>
      </c>
      <c r="E341" s="13">
        <v>100000</v>
      </c>
      <c r="F341" s="13">
        <f>E342+G341*(E341-E342)</f>
        <v>99142.8444933882</v>
      </c>
      <c r="G341" s="7">
        <f>$D$339*$D$17+$E$339*$E$17</f>
        <v>0.11476687537800367</v>
      </c>
    </row>
    <row r="342" spans="1:7" ht="11.25">
      <c r="A342" s="7">
        <v>1</v>
      </c>
      <c r="D342" s="11">
        <f t="shared" si="37"/>
        <v>0.0016573009327164913</v>
      </c>
      <c r="E342" s="13">
        <f aca="true" t="shared" si="38" ref="E342:E362">(1-D341)*E341</f>
        <v>99031.71776702571</v>
      </c>
      <c r="F342" s="13">
        <f>4*E343+G342*(E342-E343)</f>
        <v>395739.3155512949</v>
      </c>
      <c r="G342" s="7">
        <f>$D$339*$D$18+$E$339*$E$18</f>
        <v>1.638661563319008</v>
      </c>
    </row>
    <row r="343" spans="1:6" ht="11.25">
      <c r="A343" s="7">
        <v>5</v>
      </c>
      <c r="D343" s="11">
        <f t="shared" si="37"/>
        <v>0.0010638381478091825</v>
      </c>
      <c r="E343" s="13">
        <f t="shared" si="38"/>
        <v>98867.5924088019</v>
      </c>
      <c r="F343" s="13">
        <f aca="true" t="shared" si="39" ref="F343:F354">2.5*(E343+E344)</f>
        <v>494075.0142530432</v>
      </c>
    </row>
    <row r="344" spans="1:6" ht="11.25">
      <c r="A344" s="7">
        <v>10</v>
      </c>
      <c r="D344" s="11">
        <f t="shared" si="37"/>
        <v>0.0009390425365978202</v>
      </c>
      <c r="E344" s="13">
        <f t="shared" si="38"/>
        <v>98762.41329241537</v>
      </c>
      <c r="F344" s="13">
        <f t="shared" si="39"/>
        <v>493580.21119433024</v>
      </c>
    </row>
    <row r="345" spans="1:6" ht="11.25">
      <c r="A345" s="7">
        <v>15</v>
      </c>
      <c r="D345" s="11">
        <f t="shared" si="37"/>
        <v>0.003668658883427735</v>
      </c>
      <c r="E345" s="13">
        <f t="shared" si="38"/>
        <v>98669.67118531674</v>
      </c>
      <c r="F345" s="13">
        <f t="shared" si="39"/>
        <v>492443.3925122864</v>
      </c>
    </row>
    <row r="346" spans="1:6" ht="11.25">
      <c r="A346" s="7">
        <v>20</v>
      </c>
      <c r="D346" s="11">
        <f t="shared" si="37"/>
        <v>0.005331660439418172</v>
      </c>
      <c r="E346" s="13">
        <f t="shared" si="38"/>
        <v>98307.68581959783</v>
      </c>
      <c r="F346" s="13">
        <f t="shared" si="39"/>
        <v>490228.0710995514</v>
      </c>
    </row>
    <row r="347" spans="1:6" ht="11.25">
      <c r="A347" s="7">
        <v>25</v>
      </c>
      <c r="D347" s="11">
        <f t="shared" si="37"/>
        <v>0.005022013620371632</v>
      </c>
      <c r="E347" s="13">
        <f t="shared" si="38"/>
        <v>97783.54262022272</v>
      </c>
      <c r="F347" s="13">
        <f t="shared" si="39"/>
        <v>487690.03739389626</v>
      </c>
    </row>
    <row r="348" spans="1:6" ht="11.25">
      <c r="A348" s="7">
        <v>30</v>
      </c>
      <c r="D348" s="11">
        <f t="shared" si="37"/>
        <v>0.005605899665128532</v>
      </c>
      <c r="E348" s="13">
        <f t="shared" si="38"/>
        <v>97292.47233733578</v>
      </c>
      <c r="F348" s="13">
        <f t="shared" si="39"/>
        <v>485098.83209144045</v>
      </c>
    </row>
    <row r="349" spans="1:6" ht="11.25">
      <c r="A349" s="7">
        <v>35</v>
      </c>
      <c r="D349" s="11">
        <f t="shared" si="37"/>
        <v>0.007664990925664735</v>
      </c>
      <c r="E349" s="13">
        <f t="shared" si="38"/>
        <v>96747.0604992404</v>
      </c>
      <c r="F349" s="13">
        <f t="shared" si="39"/>
        <v>481881.3891441735</v>
      </c>
    </row>
    <row r="350" spans="1:6" ht="11.25">
      <c r="A350" s="7">
        <v>40</v>
      </c>
      <c r="D350" s="11">
        <f t="shared" si="37"/>
        <v>0.011722569547193688</v>
      </c>
      <c r="E350" s="13">
        <f t="shared" si="38"/>
        <v>96005.49515842898</v>
      </c>
      <c r="F350" s="13">
        <f t="shared" si="39"/>
        <v>477213.89805737627</v>
      </c>
    </row>
    <row r="351" spans="1:6" ht="11.25">
      <c r="A351" s="7">
        <v>45</v>
      </c>
      <c r="D351" s="11">
        <f t="shared" si="37"/>
        <v>0.01952724198234205</v>
      </c>
      <c r="E351" s="13">
        <f t="shared" si="38"/>
        <v>94880.06406452153</v>
      </c>
      <c r="F351" s="13">
        <f t="shared" si="39"/>
        <v>469768.4553968876</v>
      </c>
    </row>
    <row r="352" spans="1:6" ht="11.25">
      <c r="A352" s="7">
        <v>50</v>
      </c>
      <c r="D352" s="11">
        <f t="shared" si="37"/>
        <v>0.03171883682359865</v>
      </c>
      <c r="E352" s="13">
        <f t="shared" si="38"/>
        <v>93027.3180942335</v>
      </c>
      <c r="F352" s="13">
        <f t="shared" si="39"/>
        <v>457759.79466424754</v>
      </c>
    </row>
    <row r="353" spans="1:6" ht="11.25">
      <c r="A353" s="7">
        <v>55</v>
      </c>
      <c r="D353" s="11">
        <f t="shared" si="37"/>
        <v>0.04869607204499952</v>
      </c>
      <c r="E353" s="13">
        <f t="shared" si="38"/>
        <v>90076.59977146551</v>
      </c>
      <c r="F353" s="13">
        <f t="shared" si="39"/>
        <v>439417.05737722793</v>
      </c>
    </row>
    <row r="354" spans="1:6" ht="11.25">
      <c r="A354" s="7">
        <v>60</v>
      </c>
      <c r="D354" s="11">
        <f t="shared" si="37"/>
        <v>0.07390464172699793</v>
      </c>
      <c r="E354" s="13">
        <f t="shared" si="38"/>
        <v>85690.22317942564</v>
      </c>
      <c r="F354" s="13">
        <f t="shared" si="39"/>
        <v>412618.8527881733</v>
      </c>
    </row>
    <row r="355" spans="1:7" ht="11.25">
      <c r="A355" s="7">
        <v>65</v>
      </c>
      <c r="D355" s="11">
        <f aca="true" t="shared" si="40" ref="D355:D362">CHOOSE(C216+1,EXP($D$339*D245+$E$339*E245),1,0)</f>
        <v>0.11179546736841028</v>
      </c>
      <c r="E355" s="13">
        <f t="shared" si="38"/>
        <v>79357.31793584369</v>
      </c>
      <c r="F355" s="13">
        <f aca="true" t="shared" si="41" ref="F355:F362">CHOOSE(C216+1,2.5*(E355+E356),G355*E355,0)</f>
        <v>374607.1185598655</v>
      </c>
      <c r="G355" s="12">
        <f aca="true" t="shared" si="42" ref="G355:G362">IF(C216=1,$D$339*$D$13+$E$339*$E$13,"")</f>
      </c>
    </row>
    <row r="356" spans="1:7" ht="11.25">
      <c r="A356" s="7">
        <v>70</v>
      </c>
      <c r="D356" s="11">
        <f t="shared" si="40"/>
        <v>0.16801620883387508</v>
      </c>
      <c r="E356" s="13">
        <f t="shared" si="38"/>
        <v>70485.52948810252</v>
      </c>
      <c r="F356" s="13">
        <f t="shared" si="41"/>
        <v>322820.86883491435</v>
      </c>
      <c r="G356" s="12">
        <f t="shared" si="42"/>
      </c>
    </row>
    <row r="357" spans="1:7" ht="11.25">
      <c r="A357" s="7">
        <v>75</v>
      </c>
      <c r="D357" s="11">
        <f t="shared" si="40"/>
        <v>0.2460909636683704</v>
      </c>
      <c r="E357" s="13">
        <f t="shared" si="38"/>
        <v>58642.81804586323</v>
      </c>
      <c r="F357" s="13">
        <f t="shared" si="41"/>
        <v>257135.4212164777</v>
      </c>
      <c r="G357" s="12">
        <f t="shared" si="42"/>
      </c>
    </row>
    <row r="358" spans="1:7" ht="11.25">
      <c r="A358" s="7">
        <v>80</v>
      </c>
      <c r="D358" s="11">
        <f t="shared" si="40"/>
        <v>1</v>
      </c>
      <c r="E358" s="13">
        <f t="shared" si="38"/>
        <v>44211.350440727845</v>
      </c>
      <c r="F358" s="13">
        <f t="shared" si="41"/>
        <v>368826.99527435855</v>
      </c>
      <c r="G358" s="12">
        <f t="shared" si="42"/>
        <v>8.342359860027985</v>
      </c>
    </row>
    <row r="359" spans="1:7" ht="11.25">
      <c r="A359" s="7">
        <v>85</v>
      </c>
      <c r="D359" s="11">
        <f t="shared" si="40"/>
        <v>0</v>
      </c>
      <c r="E359" s="13">
        <f t="shared" si="38"/>
        <v>0</v>
      </c>
      <c r="F359" s="13">
        <f t="shared" si="41"/>
        <v>0</v>
      </c>
      <c r="G359" s="12">
        <f t="shared" si="42"/>
      </c>
    </row>
    <row r="360" spans="1:7" ht="11.25">
      <c r="A360" s="7">
        <v>90</v>
      </c>
      <c r="D360" s="11">
        <f t="shared" si="40"/>
        <v>0</v>
      </c>
      <c r="E360" s="13">
        <f t="shared" si="38"/>
        <v>0</v>
      </c>
      <c r="F360" s="13">
        <f t="shared" si="41"/>
        <v>0</v>
      </c>
      <c r="G360" s="12">
        <f t="shared" si="42"/>
      </c>
    </row>
    <row r="361" spans="1:7" ht="11.25">
      <c r="A361" s="7">
        <v>95</v>
      </c>
      <c r="D361" s="11">
        <f t="shared" si="40"/>
        <v>0</v>
      </c>
      <c r="E361" s="13">
        <f t="shared" si="38"/>
        <v>0</v>
      </c>
      <c r="F361" s="13">
        <f t="shared" si="41"/>
        <v>0</v>
      </c>
      <c r="G361" s="12">
        <f t="shared" si="42"/>
      </c>
    </row>
    <row r="362" spans="1:7" ht="11.25">
      <c r="A362" s="7">
        <v>100</v>
      </c>
      <c r="D362" s="11">
        <f t="shared" si="40"/>
        <v>0</v>
      </c>
      <c r="E362" s="13">
        <f t="shared" si="38"/>
        <v>0</v>
      </c>
      <c r="F362" s="13">
        <f t="shared" si="41"/>
        <v>0</v>
      </c>
      <c r="G362" s="12">
        <f t="shared" si="42"/>
      </c>
    </row>
    <row r="364" spans="1:4" ht="11.25">
      <c r="A364" s="3" t="s">
        <v>146</v>
      </c>
      <c r="D364" s="13">
        <f>SUM(F341:F362)</f>
        <v>7500047.569902933</v>
      </c>
    </row>
    <row r="365" spans="1:4" ht="11.25">
      <c r="A365" s="3" t="s">
        <v>147</v>
      </c>
      <c r="D365" s="14">
        <f>SUM(F341:F362)/E341</f>
        <v>75.00047569902934</v>
      </c>
    </row>
    <row r="367" ht="11.25">
      <c r="A367" s="3" t="s">
        <v>148</v>
      </c>
    </row>
    <row r="368" spans="1:4" ht="11.25">
      <c r="A368" s="3" t="s">
        <v>149</v>
      </c>
      <c r="D368" s="7">
        <f>(E339*($E$12-D365)+D339*($D$12-D365))/((D365*D365-$E$12*$E$12)*($D$12-D365)+($D$12*$D$12-D365*D365)*($E$12-D365))</f>
        <v>-0.0008568144235120422</v>
      </c>
    </row>
    <row r="369" spans="1:4" ht="11.25">
      <c r="A369" s="3" t="s">
        <v>150</v>
      </c>
      <c r="D369" s="7">
        <f>(D368*(D365*D365-$E$12*$E$12)-D339)/($E$12-D365)</f>
        <v>0.07671883667018431</v>
      </c>
    </row>
    <row r="370" spans="1:4" ht="11.25">
      <c r="A370" s="3" t="s">
        <v>151</v>
      </c>
      <c r="D370" s="7">
        <f>-D369*$E$12-D368*$E$12*$E$12</f>
        <v>-0.17365592810567687</v>
      </c>
    </row>
    <row r="371" spans="1:7" ht="11.25">
      <c r="A371" s="5" t="s">
        <v>4</v>
      </c>
      <c r="C371" s="5" t="s">
        <v>4</v>
      </c>
      <c r="D371" s="5" t="s">
        <v>4</v>
      </c>
      <c r="E371" s="5" t="s">
        <v>4</v>
      </c>
      <c r="F371" s="5" t="s">
        <v>4</v>
      </c>
      <c r="G371" s="5" t="s">
        <v>4</v>
      </c>
    </row>
    <row r="372" ht="11.25">
      <c r="A372" s="3" t="s">
        <v>154</v>
      </c>
    </row>
    <row r="375" ht="11.25">
      <c r="A375" s="3" t="s">
        <v>155</v>
      </c>
    </row>
    <row r="376" spans="1:7" ht="11.25">
      <c r="A376" s="5" t="s">
        <v>4</v>
      </c>
      <c r="C376" s="5" t="s">
        <v>4</v>
      </c>
      <c r="D376" s="5" t="s">
        <v>4</v>
      </c>
      <c r="E376" s="5" t="s">
        <v>4</v>
      </c>
      <c r="F376" s="5" t="s">
        <v>4</v>
      </c>
      <c r="G376" s="5" t="s">
        <v>4</v>
      </c>
    </row>
    <row r="377" spans="1:7" ht="11.25">
      <c r="A377" s="3" t="s">
        <v>142</v>
      </c>
      <c r="D377" s="3" t="s">
        <v>39</v>
      </c>
      <c r="E377" s="3" t="s">
        <v>143</v>
      </c>
      <c r="F377" s="3" t="s">
        <v>42</v>
      </c>
      <c r="G377" s="3" t="s">
        <v>144</v>
      </c>
    </row>
    <row r="378" spans="1:7" ht="11.25">
      <c r="A378" s="5" t="s">
        <v>4</v>
      </c>
      <c r="C378" s="5" t="s">
        <v>4</v>
      </c>
      <c r="D378" s="5" t="s">
        <v>4</v>
      </c>
      <c r="E378" s="5" t="s">
        <v>4</v>
      </c>
      <c r="F378" s="5" t="s">
        <v>4</v>
      </c>
      <c r="G378" s="5" t="s">
        <v>4</v>
      </c>
    </row>
    <row r="379" spans="1:5" ht="11.25">
      <c r="A379" s="3" t="s">
        <v>145</v>
      </c>
      <c r="D379" s="11">
        <f>D370+D369*$F$12+D368*$F$12*$F$12</f>
        <v>0.7606756899029099</v>
      </c>
      <c r="E379" s="11">
        <f>1-D379</f>
        <v>0.2393243100970901</v>
      </c>
    </row>
    <row r="381" spans="1:7" ht="11.25">
      <c r="A381" s="7">
        <v>0</v>
      </c>
      <c r="D381" s="11">
        <f aca="true" t="shared" si="43" ref="D381:D394">EXP($D$379*D231+$E$379*E231)</f>
        <v>0.009683189907944275</v>
      </c>
      <c r="E381" s="13">
        <v>100000</v>
      </c>
      <c r="F381" s="13">
        <f>E382+G381*(E381-E382)</f>
        <v>99142.81367223177</v>
      </c>
      <c r="G381" s="7">
        <f>$D$379*$D$17+$E$379*$E$17</f>
        <v>0.11476864967300952</v>
      </c>
    </row>
    <row r="382" spans="1:7" ht="11.25">
      <c r="A382" s="7">
        <v>1</v>
      </c>
      <c r="D382" s="11">
        <f t="shared" si="43"/>
        <v>0.0016573964081442074</v>
      </c>
      <c r="E382" s="13">
        <f aca="true" t="shared" si="44" ref="E382:E402">(1-D381)*E381</f>
        <v>99031.68100920557</v>
      </c>
      <c r="F382" s="13">
        <f>4*E383+G382*(E382-E383)</f>
        <v>395739.146968176</v>
      </c>
      <c r="G382" s="7">
        <f>$D$379*$D$18+$E$379*$E$18</f>
        <v>1.638665407624854</v>
      </c>
    </row>
    <row r="383" spans="1:6" ht="11.25">
      <c r="A383" s="7">
        <v>5</v>
      </c>
      <c r="D383" s="11">
        <f t="shared" si="43"/>
        <v>0.001063895752135133</v>
      </c>
      <c r="E383" s="13">
        <f t="shared" si="44"/>
        <v>98867.54625680843</v>
      </c>
      <c r="F383" s="13">
        <f aca="true" t="shared" si="45" ref="F383:F394">2.5*(E383+E384)</f>
        <v>494074.76937782555</v>
      </c>
    </row>
    <row r="384" spans="1:6" ht="11.25">
      <c r="A384" s="7">
        <v>10</v>
      </c>
      <c r="D384" s="11">
        <f t="shared" si="43"/>
        <v>0.000939110675779509</v>
      </c>
      <c r="E384" s="13">
        <f t="shared" si="44"/>
        <v>98762.36149432178</v>
      </c>
      <c r="F384" s="13">
        <f t="shared" si="45"/>
        <v>493579.9355014977</v>
      </c>
    </row>
    <row r="385" spans="1:6" ht="11.25">
      <c r="A385" s="7">
        <v>15</v>
      </c>
      <c r="D385" s="11">
        <f t="shared" si="43"/>
        <v>0.0036689082880799395</v>
      </c>
      <c r="E385" s="13">
        <f t="shared" si="44"/>
        <v>98669.61270627727</v>
      </c>
      <c r="F385" s="13">
        <f t="shared" si="45"/>
        <v>492443.0391317871</v>
      </c>
    </row>
    <row r="386" spans="1:6" ht="11.25">
      <c r="A386" s="7">
        <v>20</v>
      </c>
      <c r="D386" s="11">
        <f t="shared" si="43"/>
        <v>0.005332011153256683</v>
      </c>
      <c r="E386" s="13">
        <f t="shared" si="44"/>
        <v>98307.60294643758</v>
      </c>
      <c r="F386" s="13">
        <f t="shared" si="45"/>
        <v>490227.5716437871</v>
      </c>
    </row>
    <row r="387" spans="1:6" ht="11.25">
      <c r="A387" s="7">
        <v>25</v>
      </c>
      <c r="D387" s="11">
        <f t="shared" si="43"/>
        <v>0.0050223593124642755</v>
      </c>
      <c r="E387" s="13">
        <f t="shared" si="44"/>
        <v>97783.42571107725</v>
      </c>
      <c r="F387" s="13">
        <f t="shared" si="45"/>
        <v>487689.3698085745</v>
      </c>
    </row>
    <row r="388" spans="1:6" ht="11.25">
      <c r="A388" s="7">
        <v>30</v>
      </c>
      <c r="D388" s="11">
        <f t="shared" si="43"/>
        <v>0.005606222062611412</v>
      </c>
      <c r="E388" s="13">
        <f t="shared" si="44"/>
        <v>97292.32221235255</v>
      </c>
      <c r="F388" s="13">
        <f t="shared" si="45"/>
        <v>485098.0051534888</v>
      </c>
    </row>
    <row r="389" spans="1:6" ht="11.25">
      <c r="A389" s="7">
        <v>35</v>
      </c>
      <c r="D389" s="11">
        <f t="shared" si="43"/>
        <v>0.007665357721483401</v>
      </c>
      <c r="E389" s="13">
        <f t="shared" si="44"/>
        <v>96746.87984904296</v>
      </c>
      <c r="F389" s="13">
        <f t="shared" si="45"/>
        <v>481880.4006390141</v>
      </c>
    </row>
    <row r="390" spans="1:6" ht="11.25">
      <c r="A390" s="7">
        <v>40</v>
      </c>
      <c r="D390" s="11">
        <f t="shared" si="43"/>
        <v>0.011723087160518833</v>
      </c>
      <c r="E390" s="13">
        <f t="shared" si="44"/>
        <v>96005.28040656268</v>
      </c>
      <c r="F390" s="13">
        <f t="shared" si="45"/>
        <v>477212.706357623</v>
      </c>
    </row>
    <row r="391" spans="1:6" ht="11.25">
      <c r="A391" s="7">
        <v>45</v>
      </c>
      <c r="D391" s="11">
        <f t="shared" si="43"/>
        <v>0.019528023205182928</v>
      </c>
      <c r="E391" s="13">
        <f t="shared" si="44"/>
        <v>94879.8021364865</v>
      </c>
      <c r="F391" s="13">
        <f t="shared" si="45"/>
        <v>469766.9732378713</v>
      </c>
    </row>
    <row r="392" spans="1:6" ht="11.25">
      <c r="A392" s="7">
        <v>50</v>
      </c>
      <c r="D392" s="11">
        <f t="shared" si="43"/>
        <v>0.03172006498397164</v>
      </c>
      <c r="E392" s="13">
        <f t="shared" si="44"/>
        <v>93026.98715866203</v>
      </c>
      <c r="F392" s="13">
        <f t="shared" si="45"/>
        <v>457757.8805984705</v>
      </c>
    </row>
    <row r="393" spans="1:6" ht="11.25">
      <c r="A393" s="7">
        <v>55</v>
      </c>
      <c r="D393" s="11">
        <f t="shared" si="43"/>
        <v>0.04869794141365824</v>
      </c>
      <c r="E393" s="13">
        <f t="shared" si="44"/>
        <v>90076.16508072618</v>
      </c>
      <c r="F393" s="13">
        <f t="shared" si="45"/>
        <v>439414.5158789604</v>
      </c>
    </row>
    <row r="394" spans="1:6" ht="11.25">
      <c r="A394" s="7">
        <v>60</v>
      </c>
      <c r="D394" s="11">
        <f t="shared" si="43"/>
        <v>0.0739073932789732</v>
      </c>
      <c r="E394" s="13">
        <f t="shared" si="44"/>
        <v>85689.64127085796</v>
      </c>
      <c r="F394" s="13">
        <f t="shared" si="45"/>
        <v>412615.46131094114</v>
      </c>
    </row>
    <row r="395" spans="1:7" ht="11.25">
      <c r="A395" s="7">
        <v>65</v>
      </c>
      <c r="D395" s="11">
        <f aca="true" t="shared" si="46" ref="D395:D402">CHOOSE(C216+1,EXP($D$379*D245+$E$379*E245),1,0)</f>
        <v>0.11179938336791903</v>
      </c>
      <c r="E395" s="13">
        <f t="shared" si="44"/>
        <v>79356.54325351852</v>
      </c>
      <c r="F395" s="13">
        <f aca="true" t="shared" si="47" ref="F395:F402">CHOOSE(C216+1,2.5*(E395+E396),G395*E395,0)</f>
        <v>374602.6847627102</v>
      </c>
      <c r="G395" s="12">
        <f aca="true" t="shared" si="48" ref="G395:G402">IF(C216=1,$D$379*$D$13+$E$379*$E$13,"")</f>
      </c>
    </row>
    <row r="396" spans="1:7" ht="11.25">
      <c r="A396" s="7">
        <v>70</v>
      </c>
      <c r="D396" s="11">
        <f t="shared" si="46"/>
        <v>0.16802132987439958</v>
      </c>
      <c r="E396" s="13">
        <f t="shared" si="44"/>
        <v>70484.53065156555</v>
      </c>
      <c r="F396" s="13">
        <f t="shared" si="47"/>
        <v>322815.3918187055</v>
      </c>
      <c r="G396" s="12">
        <f t="shared" si="48"/>
      </c>
    </row>
    <row r="397" spans="1:7" ht="11.25">
      <c r="A397" s="7">
        <v>75</v>
      </c>
      <c r="D397" s="11">
        <f t="shared" si="46"/>
        <v>0.24609721071631122</v>
      </c>
      <c r="E397" s="13">
        <f t="shared" si="44"/>
        <v>58641.62607591663</v>
      </c>
      <c r="F397" s="13">
        <f t="shared" si="47"/>
        <v>257129.2788567032</v>
      </c>
      <c r="G397" s="12">
        <f t="shared" si="48"/>
      </c>
    </row>
    <row r="398" spans="1:7" ht="11.25">
      <c r="A398" s="7">
        <v>80</v>
      </c>
      <c r="D398" s="11">
        <f t="shared" si="46"/>
        <v>1</v>
      </c>
      <c r="E398" s="13">
        <f t="shared" si="44"/>
        <v>44210.08546676465</v>
      </c>
      <c r="F398" s="13">
        <f t="shared" si="47"/>
        <v>368809.01223099866</v>
      </c>
      <c r="G398" s="12">
        <f t="shared" si="48"/>
        <v>8.342191794862154</v>
      </c>
    </row>
    <row r="399" spans="1:7" ht="11.25">
      <c r="A399" s="7">
        <v>85</v>
      </c>
      <c r="D399" s="11">
        <f t="shared" si="46"/>
        <v>0</v>
      </c>
      <c r="E399" s="13">
        <f t="shared" si="44"/>
        <v>0</v>
      </c>
      <c r="F399" s="13">
        <f t="shared" si="47"/>
        <v>0</v>
      </c>
      <c r="G399" s="12">
        <f t="shared" si="48"/>
      </c>
    </row>
    <row r="400" spans="1:7" ht="11.25">
      <c r="A400" s="7">
        <v>90</v>
      </c>
      <c r="D400" s="11">
        <f t="shared" si="46"/>
        <v>0</v>
      </c>
      <c r="E400" s="13">
        <f t="shared" si="44"/>
        <v>0</v>
      </c>
      <c r="F400" s="13">
        <f t="shared" si="47"/>
        <v>0</v>
      </c>
      <c r="G400" s="12">
        <f t="shared" si="48"/>
      </c>
    </row>
    <row r="401" spans="1:7" ht="11.25">
      <c r="A401" s="7">
        <v>95</v>
      </c>
      <c r="D401" s="11">
        <f t="shared" si="46"/>
        <v>0</v>
      </c>
      <c r="E401" s="13">
        <f t="shared" si="44"/>
        <v>0</v>
      </c>
      <c r="F401" s="13">
        <f t="shared" si="47"/>
        <v>0</v>
      </c>
      <c r="G401" s="12">
        <f t="shared" si="48"/>
      </c>
    </row>
    <row r="402" spans="1:7" ht="11.25">
      <c r="A402" s="7">
        <v>100</v>
      </c>
      <c r="D402" s="11">
        <f t="shared" si="46"/>
        <v>0</v>
      </c>
      <c r="E402" s="13">
        <f t="shared" si="44"/>
        <v>0</v>
      </c>
      <c r="F402" s="13">
        <f t="shared" si="47"/>
        <v>0</v>
      </c>
      <c r="G402" s="12">
        <f t="shared" si="48"/>
      </c>
    </row>
    <row r="404" spans="1:4" ht="11.25">
      <c r="A404" s="3" t="s">
        <v>146</v>
      </c>
      <c r="D404" s="13">
        <f>SUM(F381:F402)</f>
        <v>7499998.956949366</v>
      </c>
    </row>
    <row r="405" spans="1:4" ht="11.25">
      <c r="A405" s="3" t="s">
        <v>147</v>
      </c>
      <c r="D405" s="14">
        <f>SUM(F381:F402)/E381</f>
        <v>74.99998956949366</v>
      </c>
    </row>
    <row r="406" spans="1:7" ht="11.25">
      <c r="A406" s="5" t="s">
        <v>4</v>
      </c>
      <c r="C406" s="5" t="s">
        <v>4</v>
      </c>
      <c r="D406" s="5" t="s">
        <v>4</v>
      </c>
      <c r="E406" s="5" t="s">
        <v>4</v>
      </c>
      <c r="F406" s="5" t="s">
        <v>4</v>
      </c>
      <c r="G406" s="5" t="s">
        <v>4</v>
      </c>
    </row>
    <row r="408" ht="11.25">
      <c r="A408" s="3" t="s">
        <v>156</v>
      </c>
    </row>
    <row r="409" spans="1:7" ht="11.25">
      <c r="A409" s="5" t="s">
        <v>4</v>
      </c>
      <c r="C409" s="5" t="s">
        <v>4</v>
      </c>
      <c r="D409" s="5" t="s">
        <v>4</v>
      </c>
      <c r="E409" s="5" t="s">
        <v>4</v>
      </c>
      <c r="F409" s="5" t="s">
        <v>4</v>
      </c>
      <c r="G409" s="5" t="s">
        <v>4</v>
      </c>
    </row>
    <row r="410" spans="4:11" ht="12.75">
      <c r="D410" s="3" t="s">
        <v>157</v>
      </c>
      <c r="J410" s="17" t="s">
        <v>158</v>
      </c>
      <c r="K410" s="17" t="s">
        <v>158</v>
      </c>
    </row>
    <row r="411" spans="1:11" ht="12.75">
      <c r="A411" s="3" t="s">
        <v>127</v>
      </c>
      <c r="D411" s="6" t="s">
        <v>139</v>
      </c>
      <c r="E411" s="6" t="s">
        <v>140</v>
      </c>
      <c r="F411" s="6" t="s">
        <v>159</v>
      </c>
      <c r="G411" s="6" t="s">
        <v>160</v>
      </c>
      <c r="J411" s="17" t="s">
        <v>39</v>
      </c>
      <c r="K411" s="17" t="s">
        <v>37</v>
      </c>
    </row>
    <row r="412" spans="1:11" ht="12.75">
      <c r="A412" s="5" t="s">
        <v>4</v>
      </c>
      <c r="C412" s="5" t="s">
        <v>4</v>
      </c>
      <c r="D412" s="5" t="s">
        <v>4</v>
      </c>
      <c r="E412" s="5" t="s">
        <v>4</v>
      </c>
      <c r="F412" s="5" t="s">
        <v>4</v>
      </c>
      <c r="G412" s="5" t="s">
        <v>4</v>
      </c>
      <c r="J412" s="18"/>
      <c r="K412" s="18"/>
    </row>
    <row r="413" spans="1:11" ht="12.75">
      <c r="A413" s="7">
        <f>I413+C60/2</f>
        <v>0.5</v>
      </c>
      <c r="D413" s="14">
        <f aca="true" t="shared" si="49" ref="D413:E426">D22</f>
        <v>0.014</v>
      </c>
      <c r="E413" s="14">
        <f t="shared" si="49"/>
        <v>0.003</v>
      </c>
      <c r="F413" s="14">
        <f aca="true" t="shared" si="50" ref="F413:F426">F60</f>
        <v>0.009683189907944275</v>
      </c>
      <c r="G413" s="14">
        <f aca="true" t="shared" si="51" ref="G413:G426">D60</f>
        <v>0.009766910529649788</v>
      </c>
      <c r="H413" s="7">
        <f>E3</f>
        <v>0</v>
      </c>
      <c r="I413" s="7">
        <v>0</v>
      </c>
      <c r="J413" s="19">
        <f aca="true" t="shared" si="52" ref="J413:J426">MINA(D413:F413)</f>
        <v>0.003</v>
      </c>
      <c r="K413" s="19">
        <f aca="true" t="shared" si="53" ref="K413:K426">G413</f>
        <v>0.009766910529649788</v>
      </c>
    </row>
    <row r="414" spans="1:11" ht="12.75">
      <c r="A414" s="7">
        <f>I414+C61/2</f>
        <v>3</v>
      </c>
      <c r="D414" s="14">
        <f t="shared" si="49"/>
        <v>0.0029</v>
      </c>
      <c r="E414" s="14">
        <f t="shared" si="49"/>
        <v>0.00028</v>
      </c>
      <c r="F414" s="14">
        <f t="shared" si="50"/>
        <v>0.0016573964081442074</v>
      </c>
      <c r="G414" s="14">
        <f t="shared" si="51"/>
        <v>0.0004147549052313983</v>
      </c>
      <c r="I414" s="7">
        <v>1</v>
      </c>
      <c r="J414" s="19">
        <f t="shared" si="52"/>
        <v>0.00028</v>
      </c>
      <c r="K414" s="19">
        <f t="shared" si="53"/>
        <v>0.0004147549052313983</v>
      </c>
    </row>
    <row r="415" spans="1:11" ht="12.75">
      <c r="A415" s="7">
        <f aca="true" t="shared" si="54" ref="A415:A426">I415+2.5</f>
        <v>7.5</v>
      </c>
      <c r="D415" s="14">
        <f t="shared" si="49"/>
        <v>0.0018</v>
      </c>
      <c r="E415" s="14">
        <f t="shared" si="49"/>
        <v>0.0002</v>
      </c>
      <c r="F415" s="14">
        <f t="shared" si="50"/>
        <v>0.001063895752135133</v>
      </c>
      <c r="G415" s="14">
        <f t="shared" si="51"/>
        <v>0.0002128923980860194</v>
      </c>
      <c r="I415" s="7">
        <v>5</v>
      </c>
      <c r="J415" s="19">
        <f t="shared" si="52"/>
        <v>0.0002</v>
      </c>
      <c r="K415" s="19">
        <f t="shared" si="53"/>
        <v>0.0002128923980860194</v>
      </c>
    </row>
    <row r="416" spans="1:11" ht="12.75">
      <c r="A416" s="7">
        <f t="shared" si="54"/>
        <v>12.5</v>
      </c>
      <c r="D416" s="14">
        <f t="shared" si="49"/>
        <v>0.0019</v>
      </c>
      <c r="E416" s="14">
        <f t="shared" si="49"/>
        <v>0.0001</v>
      </c>
      <c r="F416" s="14">
        <f t="shared" si="50"/>
        <v>0.000939110675779509</v>
      </c>
      <c r="G416" s="14">
        <f t="shared" si="51"/>
        <v>0.00018791036947293267</v>
      </c>
      <c r="I416" s="7">
        <v>10</v>
      </c>
      <c r="J416" s="19">
        <f t="shared" si="52"/>
        <v>0.0001</v>
      </c>
      <c r="K416" s="19">
        <f t="shared" si="53"/>
        <v>0.00018791036947293267</v>
      </c>
    </row>
    <row r="417" spans="1:11" ht="12.75">
      <c r="A417" s="7">
        <f t="shared" si="54"/>
        <v>17.5</v>
      </c>
      <c r="D417" s="14">
        <f t="shared" si="49"/>
        <v>0.0071</v>
      </c>
      <c r="E417" s="14">
        <f t="shared" si="49"/>
        <v>0.00045</v>
      </c>
      <c r="F417" s="14">
        <f t="shared" si="50"/>
        <v>0.0036689082880799395</v>
      </c>
      <c r="G417" s="14">
        <f t="shared" si="51"/>
        <v>0.0007351302202950171</v>
      </c>
      <c r="I417" s="7">
        <v>15</v>
      </c>
      <c r="J417" s="19">
        <f t="shared" si="52"/>
        <v>0.00045</v>
      </c>
      <c r="K417" s="19">
        <f t="shared" si="53"/>
        <v>0.0007351302202950171</v>
      </c>
    </row>
    <row r="418" spans="1:11" ht="12.75">
      <c r="A418" s="7">
        <f t="shared" si="54"/>
        <v>22.5</v>
      </c>
      <c r="D418" s="14">
        <f t="shared" si="49"/>
        <v>0.0101</v>
      </c>
      <c r="E418" s="14">
        <f t="shared" si="49"/>
        <v>0.0007</v>
      </c>
      <c r="F418" s="14">
        <f t="shared" si="50"/>
        <v>0.005332011153256683</v>
      </c>
      <c r="G418" s="14">
        <f t="shared" si="51"/>
        <v>0.0010692528647515901</v>
      </c>
      <c r="I418" s="7">
        <v>20</v>
      </c>
      <c r="J418" s="19">
        <f t="shared" si="52"/>
        <v>0.0007</v>
      </c>
      <c r="K418" s="19">
        <f t="shared" si="53"/>
        <v>0.0010692528647515901</v>
      </c>
    </row>
    <row r="419" spans="1:11" ht="12.75">
      <c r="A419" s="7">
        <f t="shared" si="54"/>
        <v>27.5</v>
      </c>
      <c r="D419" s="14">
        <f t="shared" si="49"/>
        <v>0.0098</v>
      </c>
      <c r="E419" s="14">
        <f t="shared" si="49"/>
        <v>0.0006</v>
      </c>
      <c r="F419" s="14">
        <f t="shared" si="50"/>
        <v>0.0050223593124642755</v>
      </c>
      <c r="G419" s="14">
        <f t="shared" si="51"/>
        <v>0.0010070006219685555</v>
      </c>
      <c r="I419" s="7">
        <v>25</v>
      </c>
      <c r="J419" s="19">
        <f t="shared" si="52"/>
        <v>0.0006</v>
      </c>
      <c r="K419" s="19">
        <f t="shared" si="53"/>
        <v>0.0010070006219685555</v>
      </c>
    </row>
    <row r="420" spans="1:11" ht="12.75">
      <c r="A420" s="7">
        <f t="shared" si="54"/>
        <v>32.5</v>
      </c>
      <c r="D420" s="14">
        <f t="shared" si="49"/>
        <v>0.0098</v>
      </c>
      <c r="E420" s="14">
        <f t="shared" si="49"/>
        <v>0.00095</v>
      </c>
      <c r="F420" s="14">
        <f t="shared" si="50"/>
        <v>0.005606222062611412</v>
      </c>
      <c r="G420" s="14">
        <f t="shared" si="51"/>
        <v>0.0011243962199700389</v>
      </c>
      <c r="I420" s="7">
        <v>30</v>
      </c>
      <c r="J420" s="19">
        <f t="shared" si="52"/>
        <v>0.00095</v>
      </c>
      <c r="K420" s="19">
        <f t="shared" si="53"/>
        <v>0.0011243962199700389</v>
      </c>
    </row>
    <row r="421" spans="1:11" ht="12.75">
      <c r="A421" s="7">
        <f t="shared" si="54"/>
        <v>37.5</v>
      </c>
      <c r="D421" s="14">
        <f t="shared" si="49"/>
        <v>0.0122</v>
      </c>
      <c r="E421" s="14">
        <f t="shared" si="49"/>
        <v>0.00175</v>
      </c>
      <c r="F421" s="14">
        <f t="shared" si="50"/>
        <v>0.007665357721483401</v>
      </c>
      <c r="G421" s="14">
        <f t="shared" si="51"/>
        <v>0.001538969921783216</v>
      </c>
      <c r="I421" s="7">
        <v>35</v>
      </c>
      <c r="J421" s="19">
        <f t="shared" si="52"/>
        <v>0.00175</v>
      </c>
      <c r="K421" s="19">
        <f t="shared" si="53"/>
        <v>0.001538969921783216</v>
      </c>
    </row>
    <row r="422" spans="1:11" ht="12.75">
      <c r="A422" s="7">
        <f t="shared" si="54"/>
        <v>42.5</v>
      </c>
      <c r="D422" s="14">
        <f t="shared" si="49"/>
        <v>0.018</v>
      </c>
      <c r="E422" s="14">
        <f t="shared" si="49"/>
        <v>0.003</v>
      </c>
      <c r="F422" s="14">
        <f t="shared" si="50"/>
        <v>0.011723087160518833</v>
      </c>
      <c r="G422" s="14">
        <f t="shared" si="51"/>
        <v>0.0023584415399718053</v>
      </c>
      <c r="I422" s="7">
        <v>40</v>
      </c>
      <c r="J422" s="19">
        <f t="shared" si="52"/>
        <v>0.003</v>
      </c>
      <c r="K422" s="19">
        <f t="shared" si="53"/>
        <v>0.0023584415399718053</v>
      </c>
    </row>
    <row r="423" spans="1:11" ht="12.75">
      <c r="A423" s="7">
        <f t="shared" si="54"/>
        <v>47.5</v>
      </c>
      <c r="D423" s="14">
        <f t="shared" si="49"/>
        <v>0.0288</v>
      </c>
      <c r="E423" s="14">
        <f t="shared" si="49"/>
        <v>0.00568</v>
      </c>
      <c r="F423" s="14">
        <f t="shared" si="50"/>
        <v>0.019528023205182928</v>
      </c>
      <c r="G423" s="14">
        <f t="shared" si="51"/>
        <v>0.003944115025911541</v>
      </c>
      <c r="I423" s="7">
        <v>45</v>
      </c>
      <c r="J423" s="19">
        <f t="shared" si="52"/>
        <v>0.00568</v>
      </c>
      <c r="K423" s="19">
        <f t="shared" si="53"/>
        <v>0.003944115025911541</v>
      </c>
    </row>
    <row r="424" spans="1:11" ht="12.75">
      <c r="A424" s="7">
        <f t="shared" si="54"/>
        <v>52.5</v>
      </c>
      <c r="D424" s="14">
        <f t="shared" si="49"/>
        <v>0.0462</v>
      </c>
      <c r="E424" s="14">
        <f t="shared" si="49"/>
        <v>0.0096</v>
      </c>
      <c r="F424" s="14">
        <f t="shared" si="50"/>
        <v>0.03172006498397164</v>
      </c>
      <c r="G424" s="14">
        <f t="shared" si="51"/>
        <v>0.006446250743030276</v>
      </c>
      <c r="I424" s="7">
        <v>50</v>
      </c>
      <c r="J424" s="19">
        <f t="shared" si="52"/>
        <v>0.0096</v>
      </c>
      <c r="K424" s="19">
        <f t="shared" si="53"/>
        <v>0.006446250743030276</v>
      </c>
    </row>
    <row r="425" spans="1:11" ht="12.75">
      <c r="A425" s="7">
        <f t="shared" si="54"/>
        <v>57.5</v>
      </c>
      <c r="D425" s="14">
        <f t="shared" si="49"/>
        <v>0.0707</v>
      </c>
      <c r="E425" s="14">
        <f t="shared" si="49"/>
        <v>0.01489</v>
      </c>
      <c r="F425" s="14">
        <f t="shared" si="50"/>
        <v>0.04869794141365824</v>
      </c>
      <c r="G425" s="14">
        <f t="shared" si="51"/>
        <v>0.009982655673297121</v>
      </c>
      <c r="I425" s="7">
        <v>55</v>
      </c>
      <c r="J425" s="19">
        <f t="shared" si="52"/>
        <v>0.01489</v>
      </c>
      <c r="K425" s="19">
        <f t="shared" si="53"/>
        <v>0.009982655673297121</v>
      </c>
    </row>
    <row r="426" spans="1:11" ht="12.75">
      <c r="A426" s="7">
        <f t="shared" si="54"/>
        <v>62.5</v>
      </c>
      <c r="D426" s="14">
        <f t="shared" si="49"/>
        <v>0.1061</v>
      </c>
      <c r="E426" s="14">
        <f t="shared" si="49"/>
        <v>0.02342</v>
      </c>
      <c r="F426" s="14">
        <f t="shared" si="50"/>
        <v>0.0739073932789732</v>
      </c>
      <c r="G426" s="14">
        <f t="shared" si="51"/>
        <v>0.015348668702860115</v>
      </c>
      <c r="I426" s="7">
        <v>60</v>
      </c>
      <c r="J426" s="19">
        <f t="shared" si="52"/>
        <v>0.02342</v>
      </c>
      <c r="K426" s="19">
        <f t="shared" si="53"/>
        <v>0.015348668702860115</v>
      </c>
    </row>
    <row r="427" spans="1:11" ht="12.75">
      <c r="A427" s="7">
        <f aca="true" t="shared" si="55" ref="A427:A434">IF(C216&lt;2,I427+2.5,NA())</f>
        <v>67.5</v>
      </c>
      <c r="D427" s="14">
        <f aca="true" t="shared" si="56" ref="D427:D434">IF(C216=0,D36,NA())</f>
        <v>0.1571</v>
      </c>
      <c r="E427" s="14">
        <f aca="true" t="shared" si="57" ref="E427:E434">IF(C216=0,E36,NA())</f>
        <v>0.03792</v>
      </c>
      <c r="F427" s="14">
        <f aca="true" t="shared" si="58" ref="F427:F434">IF(C216=0,F74,NA())</f>
        <v>0.11179938336791903</v>
      </c>
      <c r="G427" s="14">
        <f aca="true" t="shared" si="59" ref="G427:G434">IF(C216&lt;2,D74,NA())</f>
        <v>0.0236837934238856</v>
      </c>
      <c r="I427" s="7">
        <f aca="true" t="shared" si="60" ref="I427:I434">IF(C216=2," ",A216)</f>
        <v>65</v>
      </c>
      <c r="J427" s="19">
        <f aca="true" t="shared" si="61" ref="J427:J434">IF(ISNA(D427),J426,MINA(D427:F427))</f>
        <v>0.03792</v>
      </c>
      <c r="K427" s="19">
        <f aca="true" t="shared" si="62" ref="K427:K434">IF(ISNA(G427),K426,G427)</f>
        <v>0.0236837934238856</v>
      </c>
    </row>
    <row r="428" spans="1:11" ht="12.75">
      <c r="A428" s="7">
        <f t="shared" si="55"/>
        <v>72.5</v>
      </c>
      <c r="D428" s="14">
        <f t="shared" si="56"/>
        <v>0.2259</v>
      </c>
      <c r="E428" s="14">
        <f t="shared" si="57"/>
        <v>0.06558</v>
      </c>
      <c r="F428" s="14">
        <f t="shared" si="58"/>
        <v>0.16802132987439958</v>
      </c>
      <c r="G428" s="14">
        <f t="shared" si="59"/>
        <v>0.03668630702187816</v>
      </c>
      <c r="I428" s="7">
        <f t="shared" si="60"/>
        <v>70</v>
      </c>
      <c r="J428" s="19">
        <f t="shared" si="61"/>
        <v>0.06558</v>
      </c>
      <c r="K428" s="19">
        <f t="shared" si="62"/>
        <v>0.03668630702187816</v>
      </c>
    </row>
    <row r="429" spans="1:11" ht="12.75">
      <c r="A429" s="7">
        <f t="shared" si="55"/>
        <v>77.5</v>
      </c>
      <c r="D429" s="14">
        <f t="shared" si="56"/>
        <v>0.3149</v>
      </c>
      <c r="E429" s="14">
        <f t="shared" si="57"/>
        <v>0.11241</v>
      </c>
      <c r="F429" s="14">
        <f t="shared" si="58"/>
        <v>0.24609721071631122</v>
      </c>
      <c r="G429" s="14">
        <f t="shared" si="59"/>
        <v>0.05612562160684396</v>
      </c>
      <c r="I429" s="7">
        <f t="shared" si="60"/>
        <v>75</v>
      </c>
      <c r="J429" s="19">
        <f t="shared" si="61"/>
        <v>0.11241</v>
      </c>
      <c r="K429" s="19">
        <f t="shared" si="62"/>
        <v>0.05612562160684396</v>
      </c>
    </row>
    <row r="430" spans="1:11" ht="12.75">
      <c r="A430" s="7">
        <f t="shared" si="55"/>
        <v>82.5</v>
      </c>
      <c r="D430" s="14" t="e">
        <f t="shared" si="56"/>
        <v>#N/A</v>
      </c>
      <c r="E430" s="14" t="e">
        <f t="shared" si="57"/>
        <v>#N/A</v>
      </c>
      <c r="F430" s="14" t="e">
        <f t="shared" si="58"/>
        <v>#N/A</v>
      </c>
      <c r="G430" s="14">
        <f t="shared" si="59"/>
        <v>0.1198725736101976</v>
      </c>
      <c r="I430" s="7">
        <f t="shared" si="60"/>
        <v>80</v>
      </c>
      <c r="J430" s="19">
        <f t="shared" si="61"/>
        <v>0.11241</v>
      </c>
      <c r="K430" s="19">
        <f t="shared" si="62"/>
        <v>0.1198725736101976</v>
      </c>
    </row>
    <row r="431" spans="1:11" ht="12.75">
      <c r="A431" s="7" t="e">
        <f t="shared" si="55"/>
        <v>#N/A</v>
      </c>
      <c r="D431" s="14" t="e">
        <f t="shared" si="56"/>
        <v>#N/A</v>
      </c>
      <c r="E431" s="14" t="e">
        <f t="shared" si="57"/>
        <v>#N/A</v>
      </c>
      <c r="F431" s="14" t="e">
        <f t="shared" si="58"/>
        <v>#N/A</v>
      </c>
      <c r="G431" s="14" t="e">
        <f t="shared" si="59"/>
        <v>#N/A</v>
      </c>
      <c r="I431" s="7" t="str">
        <f t="shared" si="60"/>
        <v> </v>
      </c>
      <c r="J431" s="19">
        <f t="shared" si="61"/>
        <v>0.11241</v>
      </c>
      <c r="K431" s="19">
        <f t="shared" si="62"/>
        <v>0.1198725736101976</v>
      </c>
    </row>
    <row r="432" spans="1:11" ht="12.75">
      <c r="A432" s="7" t="e">
        <f t="shared" si="55"/>
        <v>#N/A</v>
      </c>
      <c r="D432" s="14" t="e">
        <f t="shared" si="56"/>
        <v>#N/A</v>
      </c>
      <c r="E432" s="14" t="e">
        <f t="shared" si="57"/>
        <v>#N/A</v>
      </c>
      <c r="F432" s="14" t="e">
        <f t="shared" si="58"/>
        <v>#N/A</v>
      </c>
      <c r="G432" s="14" t="e">
        <f t="shared" si="59"/>
        <v>#N/A</v>
      </c>
      <c r="I432" s="7" t="str">
        <f t="shared" si="60"/>
        <v> </v>
      </c>
      <c r="J432" s="19">
        <f t="shared" si="61"/>
        <v>0.11241</v>
      </c>
      <c r="K432" s="19">
        <f t="shared" si="62"/>
        <v>0.1198725736101976</v>
      </c>
    </row>
    <row r="433" spans="1:11" ht="12.75">
      <c r="A433" s="7" t="e">
        <f t="shared" si="55"/>
        <v>#N/A</v>
      </c>
      <c r="D433" s="14" t="e">
        <f t="shared" si="56"/>
        <v>#N/A</v>
      </c>
      <c r="E433" s="14" t="e">
        <f t="shared" si="57"/>
        <v>#N/A</v>
      </c>
      <c r="F433" s="14" t="e">
        <f t="shared" si="58"/>
        <v>#N/A</v>
      </c>
      <c r="G433" s="14" t="e">
        <f t="shared" si="59"/>
        <v>#N/A</v>
      </c>
      <c r="I433" s="7" t="str">
        <f t="shared" si="60"/>
        <v> </v>
      </c>
      <c r="J433" s="19">
        <f t="shared" si="61"/>
        <v>0.11241</v>
      </c>
      <c r="K433" s="19">
        <f t="shared" si="62"/>
        <v>0.1198725736101976</v>
      </c>
    </row>
    <row r="434" spans="1:11" ht="12.75">
      <c r="A434" s="7" t="e">
        <f t="shared" si="55"/>
        <v>#N/A</v>
      </c>
      <c r="D434" s="14" t="e">
        <f t="shared" si="56"/>
        <v>#N/A</v>
      </c>
      <c r="E434" s="14" t="e">
        <f t="shared" si="57"/>
        <v>#N/A</v>
      </c>
      <c r="F434" s="14" t="e">
        <f t="shared" si="58"/>
        <v>#N/A</v>
      </c>
      <c r="G434" s="14" t="e">
        <f t="shared" si="59"/>
        <v>#N/A</v>
      </c>
      <c r="I434" s="7" t="str">
        <f t="shared" si="60"/>
        <v> </v>
      </c>
      <c r="J434" s="19">
        <f t="shared" si="61"/>
        <v>0.11241</v>
      </c>
      <c r="K434" s="19">
        <f t="shared" si="62"/>
        <v>0.1198725736101976</v>
      </c>
    </row>
    <row r="435" spans="1:11" ht="12.75">
      <c r="A435" s="5" t="s">
        <v>4</v>
      </c>
      <c r="C435" s="5" t="s">
        <v>4</v>
      </c>
      <c r="D435" s="5" t="s">
        <v>4</v>
      </c>
      <c r="E435" s="5" t="s">
        <v>4</v>
      </c>
      <c r="F435" s="5" t="s">
        <v>4</v>
      </c>
      <c r="G435" s="5" t="s">
        <v>4</v>
      </c>
      <c r="J435" s="18"/>
      <c r="K435" s="18"/>
    </row>
    <row r="436" spans="8:11" ht="12.75">
      <c r="H436" s="2" t="s">
        <v>161</v>
      </c>
      <c r="J436" s="19">
        <f>MINA(J413:J434)</f>
        <v>0.0001</v>
      </c>
      <c r="K436" s="19">
        <f>MINA(K413:K434)</f>
        <v>0.00018791036947293267</v>
      </c>
    </row>
  </sheetData>
  <sheetProtection sheet="1" objects="1" scenarios="1"/>
  <printOptions/>
  <pageMargins left="0.25" right="0.25" top="0.5" bottom="0.5" header="0.25" footer="0.25"/>
  <pageSetup horizontalDpi="300" verticalDpi="300" orientation="portrait" scale="95" r:id="rId1"/>
  <headerFooter alignWithMargins="0">
    <oddHeader>&amp;R&amp;"Courier New,Regular"&amp;F</oddHeader>
    <oddFooter>&amp;L&amp;"Courier New,Regular"U.S. BUREAU OF THE CENSUS PAS: INTPLTF.XLS VER 4.01  &amp;D  PAGE &amp;P</oddFooter>
  </headerFooter>
  <rowBreaks count="2" manualBreakCount="2">
    <brk id="53" max="65535" man="1"/>
    <brk id="9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Johnson</dc:creator>
  <cp:keywords/>
  <dc:description/>
  <cp:lastModifiedBy>Peter Johnson</cp:lastModifiedBy>
  <dcterms:created xsi:type="dcterms:W3CDTF">2004-05-28T11:52:11Z</dcterms:created>
  <dcterms:modified xsi:type="dcterms:W3CDTF">2004-05-28T11:52:30Z</dcterms:modified>
  <cp:category/>
  <cp:version/>
  <cp:contentType/>
  <cp:contentStatus/>
</cp:coreProperties>
</file>