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0320" windowHeight="10455" activeTab="2"/>
  </bookViews>
  <sheets>
    <sheet name="Introduction" sheetId="5" r:id="rId1"/>
    <sheet name="Models" sheetId="10" r:id="rId2"/>
    <sheet name="Method" sheetId="7" r:id="rId3"/>
    <sheet name="Charts" sheetId="9" r:id="rId4"/>
  </sheets>
  <externalReferences>
    <externalReference r:id="rId5"/>
    <externalReference r:id="rId6"/>
  </externalReferences>
  <definedNames>
    <definedName name="__123Graph_A" hidden="1">'[1]Deadkids correction to CEB'!$Z$26:$Z$42</definedName>
    <definedName name="__123Graph_AADJUST" hidden="1">'[1]Deadkids correction to CEB'!$Z$26:$Z$42</definedName>
    <definedName name="__123Graph_ACOMPARE" hidden="1">'[1]Deadkids correction to CEB'!$X$3:$X$18</definedName>
    <definedName name="__123Graph_B" hidden="1">'[1]Deadkids correction to CEB'!$AC$26:$AC$42</definedName>
    <definedName name="__123Graph_BADJUST" hidden="1">'[1]Deadkids correction to CEB'!$AC$26:$AC$42</definedName>
    <definedName name="__123Graph_BCOMPARE" hidden="1">'[1]Deadkids correction to CEB'!$Y$3:$Y$19</definedName>
    <definedName name="__123Graph_C" hidden="1">'[1]Deadkids correction to CEB'!$AA$26:$AA$60</definedName>
    <definedName name="__123Graph_CADJUST" hidden="1">'[1]Deadkids correction to CEB'!$AA$26:$AA$60</definedName>
    <definedName name="__123Graph_CCOMPARE" hidden="1">'[1]Deadkids correction to CEB'!$X$3:$X$9</definedName>
    <definedName name="__123Graph_DCOMPARE" hidden="1">'[1]Deadkids correction to CEB'!$Y$3:$Y$9</definedName>
    <definedName name="__123Graph_F" hidden="1">'[1]Deadkids correction to CEB'!$AE$26:$AE$49</definedName>
    <definedName name="__123Graph_FADJUST" hidden="1">'[1]Deadkids correction to CEB'!$AE$26:$AE$49</definedName>
    <definedName name="__123Graph_LBL_A" hidden="1">'[1]Deadkids correction to CEB'!$AB$26:$AB$42</definedName>
    <definedName name="__123Graph_LBL_AADJUST" hidden="1">'[1]Deadkids correction to CEB'!$AB$26:$AB$42</definedName>
    <definedName name="__123Graph_LBL_ACOMPARE" hidden="1">'[1]Deadkids correction to CEB'!$V$3:$V$19</definedName>
    <definedName name="__123Graph_LBL_CCOMPARE" hidden="1">'[1]Deadkids correction to CEB'!$V$3:$V$9</definedName>
    <definedName name="__123Graph_LBL_F" hidden="1">'[1]Deadkids correction to CEB'!$AF$26:$AF$49</definedName>
    <definedName name="__123Graph_LBL_FADJUST" hidden="1">'[1]Deadkids correction to CEB'!$AF$26:$AF$49</definedName>
    <definedName name="__123Graph_X" hidden="1">'[1]Deadkids correction to CEB'!$Y$26:$Y$60</definedName>
    <definedName name="__123Graph_XADJUST" hidden="1">'[1]Deadkids correction to CEB'!$Y$26:$Y$60</definedName>
    <definedName name="__123Graph_XCOMPARE" hidden="1">'[1]Deadkids correction to CEB'!$W$3:$W$19</definedName>
    <definedName name="_Key1" hidden="1">#REF!</definedName>
    <definedName name="_Order1" hidden="1">255</definedName>
    <definedName name="_Regression_Int" localSheetId="2" hidden="1">1</definedName>
    <definedName name="_Sort" hidden="1">#REF!</definedName>
    <definedName name="graph1" hidden="1">[2]GOMP!$Z$26:$Z$42</definedName>
    <definedName name="graph10" hidden="1">[2]GOMP!$Y$3:$Y$9</definedName>
    <definedName name="graph11" hidden="1">[2]GOMP!$AE$26:$AE$49</definedName>
    <definedName name="graph12" hidden="1">[2]GOMP!$AE$26:$AE$49</definedName>
    <definedName name="graph13" hidden="1">[2]GOMP!$AB$26:$AB$42</definedName>
    <definedName name="graph14" hidden="1">[2]GOMP!$AB$26:$AB$42</definedName>
    <definedName name="graph15" hidden="1">[2]GOMP!$V$3:$V$19</definedName>
    <definedName name="graph16" hidden="1">[2]GOMP!$V$3:$V$9</definedName>
    <definedName name="graph17" hidden="1">[2]GOMP!$AF$26:$AF$49</definedName>
    <definedName name="graph18" hidden="1">[2]GOMP!$AF$26:$AF$49</definedName>
    <definedName name="graph19" hidden="1">[2]GOMP!$Y$26:$Y$60</definedName>
    <definedName name="graph1a" hidden="1">#REF!</definedName>
    <definedName name="graph2" hidden="1">[2]GOMP!$Z$26:$Z$42</definedName>
    <definedName name="graph20" hidden="1">[2]GOMP!$Y$26:$Y$60</definedName>
    <definedName name="graph21" hidden="1">[2]GOMP!$W$3:$W$19</definedName>
    <definedName name="graph3" hidden="1">[2]GOMP!$X$3:$X$18</definedName>
    <definedName name="graph4" hidden="1">[2]GOMP!$AC$26:$AC$42</definedName>
    <definedName name="graph5" hidden="1">[2]GOMP!$AC$26:$AC$42</definedName>
    <definedName name="graph6" hidden="1">[2]GOMP!$Y$3:$Y$19</definedName>
    <definedName name="graph7" hidden="1">[2]GOMP!$AA$26:$AA$60</definedName>
    <definedName name="graph8" hidden="1">[2]GOMP!$AA$26:$AA$60</definedName>
    <definedName name="graph9" hidden="1">[2]GOMP!$X$3:$X$9</definedName>
    <definedName name="Model_LTs">Models!$C$32:$C$37</definedName>
    <definedName name="N_Series">Models!$D$43</definedName>
    <definedName name="Series">Models!$C$44:$C$45</definedName>
    <definedName name="Source">Models!$C$40:$C$41</definedName>
    <definedName name="Type_Source">Models!$D$39</definedName>
  </definedNames>
  <calcPr calcId="145621" iterate="1" iterateCount="1000" calcOnSave="0"/>
</workbook>
</file>

<file path=xl/calcChain.xml><?xml version="1.0" encoding="utf-8"?>
<calcChain xmlns="http://schemas.openxmlformats.org/spreadsheetml/2006/main">
  <c r="C29" i="10" l="1"/>
  <c r="I14" i="10" l="1"/>
  <c r="D31" i="10" l="1"/>
  <c r="I10" i="10" l="1"/>
  <c r="I8" i="10"/>
  <c r="I6" i="10"/>
  <c r="I4" i="10"/>
  <c r="I25" i="10"/>
  <c r="I23" i="10"/>
  <c r="I21" i="10"/>
  <c r="I19" i="10"/>
  <c r="I17" i="10"/>
  <c r="I15" i="10"/>
  <c r="I9" i="10"/>
  <c r="I7" i="10"/>
  <c r="I5" i="10"/>
  <c r="I26" i="10"/>
  <c r="J26" i="10" s="1"/>
  <c r="I24" i="10"/>
  <c r="I22" i="10"/>
  <c r="I20" i="10"/>
  <c r="I18" i="10"/>
  <c r="I16" i="10"/>
  <c r="B42" i="7" l="1"/>
  <c r="D34" i="7"/>
  <c r="C34" i="7"/>
  <c r="B34" i="7"/>
  <c r="D39" i="7"/>
  <c r="C39" i="7"/>
  <c r="B39" i="7"/>
  <c r="D38" i="7"/>
  <c r="C38" i="7"/>
  <c r="B38" i="7"/>
  <c r="D35" i="7"/>
  <c r="C35" i="7"/>
  <c r="B35" i="7"/>
  <c r="D36" i="7"/>
  <c r="C36" i="7"/>
  <c r="B36" i="7"/>
  <c r="J15" i="10"/>
  <c r="B33" i="7"/>
  <c r="D33" i="7"/>
  <c r="C33" i="7"/>
  <c r="C41" i="7"/>
  <c r="B41" i="7"/>
  <c r="D40" i="7"/>
  <c r="C40" i="7"/>
  <c r="B40" i="7"/>
  <c r="D37" i="7"/>
  <c r="C37" i="7"/>
  <c r="B37" i="7"/>
  <c r="J16" i="10"/>
  <c r="B28" i="10"/>
  <c r="D39" i="10"/>
  <c r="D43" i="10"/>
  <c r="I2" i="10"/>
  <c r="G26" i="7" l="1"/>
  <c r="H26" i="7" s="1"/>
  <c r="G22" i="7"/>
  <c r="H22" i="7" s="1"/>
  <c r="G23" i="7"/>
  <c r="H23" i="7" s="1"/>
  <c r="G28" i="7"/>
  <c r="H28" i="7" s="1"/>
  <c r="G24" i="7"/>
  <c r="H24" i="7" s="1"/>
  <c r="G29" i="7"/>
  <c r="H29" i="7" s="1"/>
  <c r="G25" i="7"/>
  <c r="H25" i="7" s="1"/>
  <c r="G27" i="7"/>
  <c r="H27" i="7" s="1"/>
  <c r="D34" i="5"/>
  <c r="D36" i="5"/>
  <c r="D35" i="5"/>
  <c r="D33" i="5"/>
  <c r="A1" i="7"/>
  <c r="F43" i="7" l="1"/>
  <c r="F42" i="7"/>
  <c r="F41" i="7"/>
  <c r="F40" i="7"/>
  <c r="F39" i="7"/>
  <c r="F38" i="7"/>
  <c r="F37" i="7"/>
  <c r="F36" i="7"/>
  <c r="F35" i="7"/>
  <c r="F34" i="7"/>
  <c r="F33" i="7"/>
  <c r="H21" i="7" l="1"/>
  <c r="J7" i="10" l="1"/>
  <c r="J4" i="10"/>
  <c r="J10" i="10"/>
  <c r="J5" i="10"/>
  <c r="J8" i="10"/>
  <c r="J9" i="10"/>
  <c r="J6" i="10"/>
  <c r="G21" i="7"/>
  <c r="D40" i="5"/>
  <c r="D39" i="5"/>
  <c r="D37" i="5"/>
  <c r="D38" i="5"/>
  <c r="L21" i="7"/>
  <c r="G41" i="7" l="1"/>
  <c r="G34" i="7"/>
  <c r="G40" i="7"/>
  <c r="G39" i="7"/>
  <c r="G35" i="7"/>
  <c r="G42" i="7"/>
  <c r="G36" i="7"/>
  <c r="J22" i="10"/>
  <c r="J24" i="10"/>
  <c r="J18" i="10"/>
  <c r="J20" i="10"/>
  <c r="J17" i="10"/>
  <c r="G33" i="7"/>
  <c r="J21" i="10"/>
  <c r="G37" i="7"/>
  <c r="J23" i="10"/>
  <c r="J25" i="10"/>
  <c r="J19" i="10"/>
  <c r="M21" i="7"/>
  <c r="L22" i="7"/>
  <c r="G38" i="7"/>
  <c r="F32" i="7"/>
  <c r="G32" i="7"/>
  <c r="O8" i="7"/>
  <c r="O7" i="7"/>
  <c r="Q6" i="7"/>
  <c r="P5" i="7"/>
  <c r="O4" i="7"/>
  <c r="H38" i="7" l="1"/>
  <c r="I37" i="7" s="1"/>
  <c r="H34" i="7"/>
  <c r="I33" i="7" s="1"/>
  <c r="N21" i="7"/>
  <c r="H41" i="7"/>
  <c r="I40" i="7" s="1"/>
  <c r="H33" i="7"/>
  <c r="H36" i="7"/>
  <c r="I35" i="7" s="1"/>
  <c r="H35" i="7"/>
  <c r="I34" i="7" s="1"/>
  <c r="H37" i="7"/>
  <c r="I36" i="7" s="1"/>
  <c r="H39" i="7"/>
  <c r="I38" i="7" s="1"/>
  <c r="H40" i="7"/>
  <c r="I39" i="7" s="1"/>
  <c r="H32" i="7"/>
  <c r="I32" i="7" s="1"/>
  <c r="P13" i="7"/>
  <c r="Q18" i="7"/>
  <c r="P7" i="7"/>
  <c r="Q7" i="7"/>
  <c r="O6" i="7"/>
  <c r="O18" i="7"/>
  <c r="P4" i="7"/>
  <c r="S3" i="7" s="1"/>
  <c r="V3" i="7" s="1"/>
  <c r="Q5" i="7"/>
  <c r="P8" i="7"/>
  <c r="Q13" i="7"/>
  <c r="Q4" i="7"/>
  <c r="T3" i="7" s="1"/>
  <c r="W3" i="7" s="1"/>
  <c r="Q8" i="7"/>
  <c r="O5" i="7"/>
  <c r="P6" i="7"/>
  <c r="O13" i="7"/>
  <c r="P18" i="7"/>
  <c r="R3" i="7"/>
  <c r="U3" i="7" s="1"/>
  <c r="O21" i="7" l="1"/>
  <c r="X3" i="7"/>
  <c r="L3" i="7" s="1"/>
  <c r="T7" i="7"/>
  <c r="R5" i="7"/>
  <c r="S6" i="7"/>
  <c r="T11" i="7"/>
  <c r="S5" i="7"/>
  <c r="R4" i="7"/>
  <c r="U4" i="7" s="1"/>
  <c r="S11" i="7"/>
  <c r="R10" i="7"/>
  <c r="R11" i="7"/>
  <c r="S4" i="7"/>
  <c r="V4" i="7" s="1"/>
  <c r="S12" i="7"/>
  <c r="R17" i="7"/>
  <c r="S10" i="7"/>
  <c r="T5" i="7"/>
  <c r="S7" i="7"/>
  <c r="S9" i="7"/>
  <c r="S8" i="7"/>
  <c r="T4" i="7"/>
  <c r="W4" i="7" s="1"/>
  <c r="T8" i="7"/>
  <c r="T9" i="7"/>
  <c r="R8" i="7"/>
  <c r="R12" i="7"/>
  <c r="T10" i="7"/>
  <c r="T12" i="7"/>
  <c r="T17" i="7"/>
  <c r="R9" i="7"/>
  <c r="T6" i="7"/>
  <c r="R13" i="7"/>
  <c r="R15" i="7"/>
  <c r="T16" i="7"/>
  <c r="S17" i="7"/>
  <c r="S15" i="7"/>
  <c r="S13" i="7"/>
  <c r="S14" i="7"/>
  <c r="T15" i="7"/>
  <c r="T13" i="7"/>
  <c r="R16" i="7"/>
  <c r="R7" i="7"/>
  <c r="R6" i="7"/>
  <c r="R14" i="7"/>
  <c r="T14" i="7"/>
  <c r="S16" i="7"/>
  <c r="P21" i="7" l="1"/>
  <c r="X4" i="7"/>
  <c r="L4" i="7" s="1"/>
  <c r="W12" i="7"/>
  <c r="V7" i="7"/>
  <c r="W8" i="7"/>
  <c r="V6" i="7"/>
  <c r="W7" i="7"/>
  <c r="U6" i="7"/>
  <c r="W11" i="7"/>
  <c r="U5" i="7"/>
  <c r="V11" i="7"/>
  <c r="V8" i="7"/>
  <c r="V5" i="7"/>
  <c r="U13" i="7"/>
  <c r="V12" i="7"/>
  <c r="W13" i="7"/>
  <c r="W5" i="7"/>
  <c r="U9" i="7"/>
  <c r="W14" i="7"/>
  <c r="V16" i="7"/>
  <c r="U11" i="7"/>
  <c r="W17" i="7"/>
  <c r="U12" i="7"/>
  <c r="V13" i="7"/>
  <c r="W10" i="7"/>
  <c r="U14" i="7"/>
  <c r="V15" i="7"/>
  <c r="W6" i="7"/>
  <c r="V9" i="7"/>
  <c r="V10" i="7"/>
  <c r="V14" i="7"/>
  <c r="W9" i="7"/>
  <c r="U10" i="7"/>
  <c r="W16" i="7"/>
  <c r="V17" i="7"/>
  <c r="U15" i="7"/>
  <c r="U7" i="7"/>
  <c r="U8" i="7"/>
  <c r="W15" i="7"/>
  <c r="U16" i="7"/>
  <c r="U17" i="7"/>
  <c r="X13" i="7" l="1"/>
  <c r="L13" i="7" s="1"/>
  <c r="Q21" i="7"/>
  <c r="X12" i="7"/>
  <c r="L12" i="7" s="1"/>
  <c r="X5" i="7"/>
  <c r="L5" i="7" s="1"/>
  <c r="X8" i="7"/>
  <c r="L8" i="7" s="1"/>
  <c r="X15" i="7"/>
  <c r="L15" i="7" s="1"/>
  <c r="X11" i="7"/>
  <c r="L11" i="7" s="1"/>
  <c r="X16" i="7"/>
  <c r="L16" i="7" s="1"/>
  <c r="X10" i="7"/>
  <c r="L10" i="7" s="1"/>
  <c r="X14" i="7"/>
  <c r="L14" i="7" s="1"/>
  <c r="X9" i="7"/>
  <c r="L9" i="7" s="1"/>
  <c r="X6" i="7"/>
  <c r="L6" i="7" s="1"/>
  <c r="X17" i="7"/>
  <c r="L17" i="7" s="1"/>
  <c r="X7" i="7"/>
  <c r="L7" i="7" s="1"/>
  <c r="L41" i="7" l="1" a="1"/>
  <c r="V41" i="7" s="1"/>
  <c r="R21" i="7"/>
  <c r="X41" i="7" l="1"/>
  <c r="Y41" i="7"/>
  <c r="Z41" i="7"/>
  <c r="O41" i="7"/>
  <c r="L41" i="7"/>
  <c r="M41" i="7"/>
  <c r="N41" i="7"/>
  <c r="S41" i="7"/>
  <c r="P41" i="7"/>
  <c r="Q41" i="7"/>
  <c r="R41" i="7"/>
  <c r="W41" i="7"/>
  <c r="T41" i="7"/>
  <c r="U41" i="7"/>
  <c r="S21" i="7"/>
  <c r="T21" i="7" l="1"/>
  <c r="T22" i="7" s="1"/>
  <c r="T23" i="7" l="1"/>
  <c r="T26" i="7"/>
  <c r="T27" i="7"/>
  <c r="U21" i="7"/>
  <c r="T29" i="7"/>
  <c r="T25" i="7"/>
  <c r="T32" i="7"/>
  <c r="T38" i="7" s="1"/>
  <c r="T28" i="7"/>
  <c r="T24" i="7"/>
  <c r="S32" i="7"/>
  <c r="S29" i="7"/>
  <c r="S24" i="7"/>
  <c r="S25" i="7"/>
  <c r="S28" i="7"/>
  <c r="S26" i="7"/>
  <c r="S22" i="7"/>
  <c r="S23" i="7"/>
  <c r="S27" i="7"/>
  <c r="T35" i="7" l="1"/>
  <c r="T33" i="7"/>
  <c r="T36" i="7"/>
  <c r="T37" i="7"/>
  <c r="T34" i="7"/>
  <c r="V21" i="7"/>
  <c r="U28" i="7"/>
  <c r="U26" i="7"/>
  <c r="U32" i="7"/>
  <c r="U37" i="7" s="1"/>
  <c r="U23" i="7"/>
  <c r="U27" i="7"/>
  <c r="U25" i="7"/>
  <c r="U29" i="7"/>
  <c r="U24" i="7"/>
  <c r="U22" i="7"/>
  <c r="S37" i="7"/>
  <c r="S35" i="7"/>
  <c r="S33" i="7"/>
  <c r="S34" i="7"/>
  <c r="S38" i="7"/>
  <c r="S36" i="7"/>
  <c r="R32" i="7"/>
  <c r="R26" i="7"/>
  <c r="R27" i="7"/>
  <c r="R29" i="7"/>
  <c r="R28" i="7"/>
  <c r="R23" i="7"/>
  <c r="R25" i="7"/>
  <c r="R24" i="7"/>
  <c r="R22" i="7"/>
  <c r="U34" i="7" l="1"/>
  <c r="U36" i="7"/>
  <c r="U33" i="7"/>
  <c r="U35" i="7"/>
  <c r="W21" i="7"/>
  <c r="V32" i="7"/>
  <c r="V26" i="7"/>
  <c r="V22" i="7"/>
  <c r="V24" i="7"/>
  <c r="V29" i="7"/>
  <c r="V25" i="7"/>
  <c r="V28" i="7"/>
  <c r="V23" i="7"/>
  <c r="V27" i="7"/>
  <c r="U38" i="7"/>
  <c r="U40" i="7"/>
  <c r="T40" i="7"/>
  <c r="R39" i="7"/>
  <c r="S40" i="7"/>
  <c r="R40" i="7"/>
  <c r="R38" i="7"/>
  <c r="R36" i="7"/>
  <c r="R34" i="7"/>
  <c r="R33" i="7"/>
  <c r="R35" i="7"/>
  <c r="R37" i="7"/>
  <c r="Q32" i="7"/>
  <c r="Q23" i="7"/>
  <c r="Q22" i="7"/>
  <c r="Q24" i="7"/>
  <c r="Q29" i="7"/>
  <c r="Q27" i="7"/>
  <c r="Q25" i="7"/>
  <c r="Q28" i="7"/>
  <c r="Q26" i="7"/>
  <c r="X21" i="7" l="1"/>
  <c r="W22" i="7"/>
  <c r="W23" i="7"/>
  <c r="W25" i="7"/>
  <c r="W29" i="7"/>
  <c r="W32" i="7"/>
  <c r="W27" i="7"/>
  <c r="W24" i="7"/>
  <c r="W26" i="7"/>
  <c r="W28" i="7"/>
  <c r="V34" i="7"/>
  <c r="V37" i="7"/>
  <c r="V36" i="7"/>
  <c r="V33" i="7"/>
  <c r="V35" i="7"/>
  <c r="V38" i="7"/>
  <c r="V39" i="7"/>
  <c r="V40" i="7"/>
  <c r="U39" i="7"/>
  <c r="T39" i="7"/>
  <c r="S39" i="7"/>
  <c r="R42" i="7"/>
  <c r="Q40" i="7"/>
  <c r="Q38" i="7"/>
  <c r="Q36" i="7"/>
  <c r="Q34" i="7"/>
  <c r="Q37" i="7"/>
  <c r="Q33" i="7"/>
  <c r="Q35" i="7"/>
  <c r="Q39" i="7"/>
  <c r="R43" i="7"/>
  <c r="P32" i="7"/>
  <c r="P28" i="7"/>
  <c r="P23" i="7"/>
  <c r="P27" i="7"/>
  <c r="P26" i="7"/>
  <c r="P22" i="7"/>
  <c r="P25" i="7"/>
  <c r="P24" i="7"/>
  <c r="P29" i="7"/>
  <c r="V42" i="7" l="1"/>
  <c r="Y21" i="7"/>
  <c r="X26" i="7"/>
  <c r="X27" i="7"/>
  <c r="X25" i="7"/>
  <c r="X29" i="7"/>
  <c r="X32" i="7"/>
  <c r="X24" i="7"/>
  <c r="X22" i="7"/>
  <c r="X28" i="7"/>
  <c r="X23" i="7"/>
  <c r="W36" i="7"/>
  <c r="W34" i="7"/>
  <c r="W33" i="7"/>
  <c r="W35" i="7"/>
  <c r="W37" i="7"/>
  <c r="W38" i="7"/>
  <c r="W39" i="7"/>
  <c r="W40" i="7"/>
  <c r="V43" i="7"/>
  <c r="T43" i="7"/>
  <c r="T42" i="7"/>
  <c r="U43" i="7"/>
  <c r="U42" i="7"/>
  <c r="S43" i="7"/>
  <c r="S42" i="7"/>
  <c r="Q43" i="7"/>
  <c r="Q42" i="7"/>
  <c r="P39" i="7"/>
  <c r="P37" i="7"/>
  <c r="P35" i="7"/>
  <c r="P33" i="7"/>
  <c r="P40" i="7"/>
  <c r="P38" i="7"/>
  <c r="P34" i="7"/>
  <c r="P36" i="7"/>
  <c r="O32" i="7"/>
  <c r="O29" i="7"/>
  <c r="O23" i="7"/>
  <c r="O24" i="7"/>
  <c r="O25" i="7"/>
  <c r="O28" i="7"/>
  <c r="O26" i="7"/>
  <c r="O27" i="7"/>
  <c r="O22" i="7"/>
  <c r="Z21" i="7" l="1"/>
  <c r="F3" i="7" s="1" a="1"/>
  <c r="Y28" i="7"/>
  <c r="Y27" i="7"/>
  <c r="Y25" i="7"/>
  <c r="Y22" i="7"/>
  <c r="Y26" i="7"/>
  <c r="Y24" i="7"/>
  <c r="Y32" i="7"/>
  <c r="Y29" i="7"/>
  <c r="Y23" i="7"/>
  <c r="W43" i="7"/>
  <c r="W42" i="7"/>
  <c r="X34" i="7"/>
  <c r="X35" i="7"/>
  <c r="X33" i="7"/>
  <c r="X36" i="7"/>
  <c r="X37" i="7"/>
  <c r="X39" i="7"/>
  <c r="X38" i="7"/>
  <c r="X40" i="7"/>
  <c r="P43" i="7"/>
  <c r="O39" i="7"/>
  <c r="O37" i="7"/>
  <c r="O35" i="7"/>
  <c r="O33" i="7"/>
  <c r="O36" i="7"/>
  <c r="O38" i="7"/>
  <c r="O34" i="7"/>
  <c r="O40" i="7"/>
  <c r="P42" i="7"/>
  <c r="N32" i="7"/>
  <c r="N23" i="7"/>
  <c r="N26" i="7"/>
  <c r="N27" i="7"/>
  <c r="N25" i="7"/>
  <c r="N24" i="7"/>
  <c r="N22" i="7"/>
  <c r="N28" i="7"/>
  <c r="N29" i="7"/>
  <c r="F5" i="7" l="1"/>
  <c r="K5" i="7" s="1"/>
  <c r="F10" i="7"/>
  <c r="K10" i="7" s="1"/>
  <c r="F7" i="7"/>
  <c r="K7" i="7" s="1"/>
  <c r="F8" i="7"/>
  <c r="K8" i="7" s="1"/>
  <c r="F9" i="7"/>
  <c r="K9" i="7" s="1"/>
  <c r="F14" i="7"/>
  <c r="K14" i="7" s="1"/>
  <c r="F11" i="7"/>
  <c r="K11" i="7" s="1"/>
  <c r="F12" i="7"/>
  <c r="K12" i="7" s="1"/>
  <c r="F13" i="7"/>
  <c r="K13" i="7" s="1"/>
  <c r="F15" i="7"/>
  <c r="K15" i="7" s="1"/>
  <c r="F16" i="7"/>
  <c r="K16" i="7" s="1"/>
  <c r="F17" i="7"/>
  <c r="K17" i="7" s="1"/>
  <c r="F6" i="7"/>
  <c r="K6" i="7" s="1"/>
  <c r="F3" i="7"/>
  <c r="K3" i="7" s="1"/>
  <c r="F4" i="7"/>
  <c r="K4" i="7" s="1"/>
  <c r="X43" i="7"/>
  <c r="Y33" i="7"/>
  <c r="Y34" i="7"/>
  <c r="Y35" i="7"/>
  <c r="Y36" i="7"/>
  <c r="Y37" i="7"/>
  <c r="Y39" i="7"/>
  <c r="Y38" i="7"/>
  <c r="Y40" i="7"/>
  <c r="Z27" i="7"/>
  <c r="Z25" i="7"/>
  <c r="Z23" i="7"/>
  <c r="Z22" i="7"/>
  <c r="Z28" i="7"/>
  <c r="Z26" i="7"/>
  <c r="Z29" i="7"/>
  <c r="Z32" i="7"/>
  <c r="Z24" i="7"/>
  <c r="X42" i="7"/>
  <c r="O43" i="7"/>
  <c r="N40" i="7"/>
  <c r="N38" i="7"/>
  <c r="N36" i="7"/>
  <c r="N34" i="7"/>
  <c r="N39" i="7"/>
  <c r="N37" i="7"/>
  <c r="N33" i="7"/>
  <c r="N35" i="7"/>
  <c r="O42" i="7"/>
  <c r="M32" i="7"/>
  <c r="M25" i="7"/>
  <c r="M24" i="7"/>
  <c r="M29" i="7"/>
  <c r="M27" i="7"/>
  <c r="M22" i="7"/>
  <c r="M23" i="7"/>
  <c r="M28" i="7"/>
  <c r="M26" i="7"/>
  <c r="Y42" i="7" l="1"/>
  <c r="Z33" i="7"/>
  <c r="Z34" i="7"/>
  <c r="Z35" i="7"/>
  <c r="Z36" i="7"/>
  <c r="Z37" i="7"/>
  <c r="Z39" i="7"/>
  <c r="Z38" i="7"/>
  <c r="Z40" i="7"/>
  <c r="Y43" i="7"/>
  <c r="N42" i="7"/>
  <c r="M40" i="7"/>
  <c r="M38" i="7"/>
  <c r="M36" i="7"/>
  <c r="M34" i="7"/>
  <c r="M35" i="7"/>
  <c r="M33" i="7"/>
  <c r="M39" i="7"/>
  <c r="M37" i="7"/>
  <c r="N43" i="7"/>
  <c r="L32" i="7"/>
  <c r="L33" i="7" s="1"/>
  <c r="L28" i="7"/>
  <c r="L24" i="7"/>
  <c r="L27" i="7"/>
  <c r="L25" i="7"/>
  <c r="L23" i="7"/>
  <c r="L29" i="7"/>
  <c r="L26" i="7"/>
  <c r="L34" i="7" l="1"/>
  <c r="Z42" i="7"/>
  <c r="Z43" i="7"/>
  <c r="M43" i="7"/>
  <c r="L39" i="7"/>
  <c r="L37" i="7"/>
  <c r="L35" i="7"/>
  <c r="L40" i="7"/>
  <c r="L38" i="7"/>
  <c r="L36" i="7"/>
  <c r="M42" i="7"/>
  <c r="L42" i="7" l="1"/>
  <c r="L43" i="7"/>
  <c r="G3" i="7" s="1" a="1"/>
  <c r="G5" i="7" l="1"/>
  <c r="G4" i="7"/>
  <c r="G9" i="7"/>
  <c r="G13" i="7"/>
  <c r="G17" i="7"/>
  <c r="G6" i="7"/>
  <c r="G10" i="7"/>
  <c r="G14" i="7"/>
  <c r="G3" i="7"/>
  <c r="G8" i="7"/>
  <c r="G12" i="7"/>
  <c r="G16" i="7"/>
  <c r="G7" i="7"/>
  <c r="G11" i="7"/>
  <c r="G15" i="7"/>
  <c r="H3" i="7" a="1"/>
  <c r="H15" i="7" s="1"/>
  <c r="H16" i="7" l="1"/>
  <c r="H5" i="7"/>
  <c r="H11" i="7"/>
  <c r="H12" i="7"/>
  <c r="H6" i="7"/>
  <c r="H7" i="7"/>
  <c r="H8" i="7"/>
  <c r="H13" i="7"/>
  <c r="H9" i="7"/>
  <c r="H17" i="7"/>
  <c r="H14" i="7"/>
  <c r="H3" i="7"/>
  <c r="H10" i="7"/>
  <c r="H4" i="7"/>
</calcChain>
</file>

<file path=xl/comments1.xml><?xml version="1.0" encoding="utf-8"?>
<comments xmlns="http://schemas.openxmlformats.org/spreadsheetml/2006/main">
  <authors>
    <author>01404747</author>
  </authors>
  <commentList>
    <comment ref="G2" authorId="0">
      <text>
        <r>
          <rPr>
            <sz val="9"/>
            <color indexed="81"/>
            <rFont val="Tahoma"/>
            <family val="2"/>
          </rPr>
          <t>To use a different standard life table, select 'Other' in cell Introduction!D16 and enter its logits here.</t>
        </r>
      </text>
    </comment>
    <comment ref="G14" authorId="0">
      <text>
        <r>
          <rPr>
            <sz val="9"/>
            <color indexed="81"/>
            <rFont val="Tahoma"/>
            <family val="2"/>
          </rPr>
          <t>If you wish to use your own standard, insert its logits here.</t>
        </r>
      </text>
    </comment>
  </commentList>
</comments>
</file>

<file path=xl/sharedStrings.xml><?xml version="1.0" encoding="utf-8"?>
<sst xmlns="http://schemas.openxmlformats.org/spreadsheetml/2006/main" count="154" uniqueCount="86">
  <si>
    <t>Women</t>
  </si>
  <si>
    <t>15-19</t>
  </si>
  <si>
    <t>20-24</t>
  </si>
  <si>
    <t>25-29</t>
  </si>
  <si>
    <t>30-34</t>
  </si>
  <si>
    <t>35-39</t>
  </si>
  <si>
    <t>40-44</t>
  </si>
  <si>
    <t>45-49</t>
  </si>
  <si>
    <t>Births</t>
  </si>
  <si>
    <t>Census date</t>
  </si>
  <si>
    <t xml:space="preserve">This method is described at: </t>
  </si>
  <si>
    <t>Country</t>
  </si>
  <si>
    <t>Estimation of fertility using single-year reverse survival - Instructions</t>
  </si>
  <si>
    <t>Results</t>
  </si>
  <si>
    <t>Model LT family to be used</t>
  </si>
  <si>
    <t>Age</t>
  </si>
  <si>
    <t>Children</t>
  </si>
  <si>
    <t>x</t>
  </si>
  <si>
    <t>0-4</t>
  </si>
  <si>
    <t>5-9</t>
  </si>
  <si>
    <t>10-14</t>
  </si>
  <si>
    <t>50-54</t>
  </si>
  <si>
    <t>55-59</t>
  </si>
  <si>
    <t>60-64</t>
  </si>
  <si>
    <t>Princeton West</t>
  </si>
  <si>
    <t>UN General</t>
  </si>
  <si>
    <t>Princeton East</t>
  </si>
  <si>
    <t>Princeton North</t>
  </si>
  <si>
    <t>Princeton South</t>
  </si>
  <si>
    <t>Periods before the survey</t>
  </si>
  <si>
    <t>Mortality</t>
  </si>
  <si>
    <t>Fertility</t>
  </si>
  <si>
    <t>Fertility data source</t>
  </si>
  <si>
    <t>Relational Gompertz parameters</t>
  </si>
  <si>
    <t>Number of fertility sources</t>
  </si>
  <si>
    <t>Reverse survival of children</t>
  </si>
  <si>
    <t>GFR (15-49)</t>
  </si>
  <si>
    <t>TF</t>
  </si>
  <si>
    <r>
      <t xml:space="preserve">Model life table logits </t>
    </r>
    <r>
      <rPr>
        <b/>
        <i/>
        <sz val="11"/>
        <rFont val="Arial Narrow"/>
        <family val="2"/>
      </rPr>
      <t>e</t>
    </r>
    <r>
      <rPr>
        <b/>
        <vertAlign val="subscript"/>
        <sz val="11"/>
        <rFont val="Arial Narrow"/>
        <family val="2"/>
      </rPr>
      <t>0</t>
    </r>
    <r>
      <rPr>
        <b/>
        <sz val="11"/>
        <rFont val="Arial Narrow"/>
        <family val="2"/>
      </rPr>
      <t>=60, both sexes</t>
    </r>
  </si>
  <si>
    <r>
      <rPr>
        <b/>
        <i/>
        <sz val="11"/>
        <rFont val="Arial Narrow"/>
        <family val="2"/>
      </rPr>
      <t>l</t>
    </r>
    <r>
      <rPr>
        <b/>
        <sz val="11"/>
        <rFont val="Arial Narrow"/>
        <family val="2"/>
      </rPr>
      <t>(</t>
    </r>
    <r>
      <rPr>
        <b/>
        <i/>
        <sz val="11"/>
        <rFont val="Arial Narrow"/>
        <family val="2"/>
      </rPr>
      <t>x</t>
    </r>
    <r>
      <rPr>
        <b/>
        <sz val="11"/>
        <rFont val="Arial Narrow"/>
        <family val="2"/>
      </rPr>
      <t>)</t>
    </r>
  </si>
  <si>
    <t>Other</t>
  </si>
  <si>
    <t>Number of series used</t>
  </si>
  <si>
    <t>Source of fertility data</t>
  </si>
  <si>
    <t>Set input parameters</t>
  </si>
  <si>
    <t xml:space="preserve"> Child Alpha</t>
  </si>
  <si>
    <t>Schedule(s) of fertility rates</t>
  </si>
  <si>
    <t>1 series</t>
  </si>
  <si>
    <t>2 series</t>
  </si>
  <si>
    <t>http://demographicestimation.iussp.org/user/?destination=content/reverse-survival-methods</t>
  </si>
  <si>
    <t>Adult Alpha</t>
  </si>
  <si>
    <t>Model life table family</t>
  </si>
  <si>
    <t xml:space="preserve">Child Beta  </t>
  </si>
  <si>
    <t xml:space="preserve">Adult Beta  </t>
  </si>
  <si>
    <t>Mid-Year</t>
  </si>
  <si>
    <t>Fertility rates for yearly periods before census</t>
  </si>
  <si>
    <t>Age group</t>
  </si>
  <si>
    <t>Women at mid-year for yearly periods before census</t>
  </si>
  <si>
    <t>Calculation of cohort survival ratios for children</t>
  </si>
  <si>
    <t>Calculation of survival ratios for mothers</t>
  </si>
  <si>
    <t>Standard gompits (Zaba modified standard)</t>
  </si>
  <si>
    <t>Reverse survival of mothers at 5-year intervals</t>
  </si>
  <si>
    <r>
      <rPr>
        <b/>
        <i/>
        <sz val="11"/>
        <rFont val="Arial Narrow"/>
        <family val="2"/>
      </rPr>
      <t>Y</t>
    </r>
    <r>
      <rPr>
        <b/>
        <i/>
        <vertAlign val="subscript"/>
        <sz val="11"/>
        <rFont val="Arial Narrow"/>
        <family val="2"/>
      </rPr>
      <t>s</t>
    </r>
    <r>
      <rPr>
        <b/>
        <sz val="11"/>
        <rFont val="Arial Narrow"/>
        <family val="2"/>
      </rPr>
      <t>(</t>
    </r>
    <r>
      <rPr>
        <b/>
        <i/>
        <sz val="11"/>
        <rFont val="Arial Narrow"/>
        <family val="2"/>
      </rPr>
      <t>x</t>
    </r>
    <r>
      <rPr>
        <b/>
        <sz val="11"/>
        <rFont val="Arial Narrow"/>
        <family val="2"/>
      </rPr>
      <t>)</t>
    </r>
  </si>
  <si>
    <r>
      <rPr>
        <b/>
        <i/>
        <sz val="11"/>
        <rFont val="Arial Narrow"/>
        <family val="2"/>
      </rPr>
      <t>Y</t>
    </r>
    <r>
      <rPr>
        <b/>
        <i/>
        <vertAlign val="subscript"/>
        <sz val="11"/>
        <rFont val="Arial Narrow"/>
        <family val="2"/>
      </rPr>
      <t>x</t>
    </r>
    <r>
      <rPr>
        <b/>
        <sz val="11"/>
        <rFont val="Arial Narrow"/>
        <family val="2"/>
      </rPr>
      <t xml:space="preserve"> - 0-4</t>
    </r>
  </si>
  <si>
    <r>
      <rPr>
        <b/>
        <i/>
        <sz val="11"/>
        <rFont val="Arial Narrow"/>
        <family val="2"/>
      </rPr>
      <t>Y</t>
    </r>
    <r>
      <rPr>
        <b/>
        <i/>
        <vertAlign val="subscript"/>
        <sz val="11"/>
        <rFont val="Arial Narrow"/>
        <family val="2"/>
      </rPr>
      <t>x</t>
    </r>
    <r>
      <rPr>
        <b/>
        <sz val="11"/>
        <rFont val="Arial Narrow"/>
        <family val="2"/>
      </rPr>
      <t xml:space="preserve"> - 5-9</t>
    </r>
  </si>
  <si>
    <r>
      <rPr>
        <b/>
        <i/>
        <sz val="11"/>
        <rFont val="Arial Narrow"/>
        <family val="2"/>
      </rPr>
      <t>Y</t>
    </r>
    <r>
      <rPr>
        <b/>
        <i/>
        <vertAlign val="subscript"/>
        <sz val="11"/>
        <rFont val="Arial Narrow"/>
        <family val="2"/>
      </rPr>
      <t>x</t>
    </r>
    <r>
      <rPr>
        <b/>
        <sz val="11"/>
        <rFont val="Arial Narrow"/>
        <family val="2"/>
      </rPr>
      <t xml:space="preserve"> - 10-14</t>
    </r>
  </si>
  <si>
    <r>
      <rPr>
        <b/>
        <i/>
        <sz val="11"/>
        <rFont val="Arial Narrow"/>
        <family val="2"/>
      </rPr>
      <t>L</t>
    </r>
    <r>
      <rPr>
        <b/>
        <i/>
        <vertAlign val="subscript"/>
        <sz val="11"/>
        <rFont val="Arial Narrow"/>
        <family val="2"/>
      </rPr>
      <t>x</t>
    </r>
    <r>
      <rPr>
        <b/>
        <sz val="11"/>
        <rFont val="Arial Narrow"/>
        <family val="2"/>
      </rPr>
      <t xml:space="preserve"> - Cohort</t>
    </r>
  </si>
  <si>
    <r>
      <rPr>
        <b/>
        <i/>
        <sz val="11"/>
        <rFont val="Arial Narrow"/>
        <family val="2"/>
      </rPr>
      <t>L</t>
    </r>
    <r>
      <rPr>
        <b/>
        <i/>
        <vertAlign val="subscript"/>
        <sz val="11"/>
        <rFont val="Arial Narrow"/>
        <family val="2"/>
      </rPr>
      <t>x</t>
    </r>
    <r>
      <rPr>
        <b/>
        <sz val="11"/>
        <rFont val="Arial Narrow"/>
        <family val="2"/>
      </rPr>
      <t xml:space="preserve"> - 0-4</t>
    </r>
  </si>
  <si>
    <r>
      <rPr>
        <b/>
        <i/>
        <sz val="11"/>
        <rFont val="Arial Narrow"/>
        <family val="2"/>
      </rPr>
      <t>L</t>
    </r>
    <r>
      <rPr>
        <b/>
        <i/>
        <vertAlign val="subscript"/>
        <sz val="11"/>
        <rFont val="Arial Narrow"/>
        <family val="2"/>
      </rPr>
      <t>x</t>
    </r>
    <r>
      <rPr>
        <b/>
        <sz val="11"/>
        <rFont val="Arial Narrow"/>
        <family val="2"/>
      </rPr>
      <t xml:space="preserve"> - 5-9</t>
    </r>
  </si>
  <si>
    <r>
      <rPr>
        <b/>
        <i/>
        <sz val="11"/>
        <rFont val="Arial Narrow"/>
        <family val="2"/>
      </rPr>
      <t>L</t>
    </r>
    <r>
      <rPr>
        <b/>
        <i/>
        <vertAlign val="subscript"/>
        <sz val="11"/>
        <rFont val="Arial Narrow"/>
        <family val="2"/>
      </rPr>
      <t>x</t>
    </r>
    <r>
      <rPr>
        <b/>
        <i/>
        <sz val="11"/>
        <rFont val="Arial Narrow"/>
        <family val="2"/>
      </rPr>
      <t xml:space="preserve"> - </t>
    </r>
    <r>
      <rPr>
        <b/>
        <sz val="11"/>
        <rFont val="Arial Narrow"/>
        <family val="2"/>
      </rPr>
      <t>10-14</t>
    </r>
  </si>
  <si>
    <r>
      <rPr>
        <b/>
        <i/>
        <sz val="11"/>
        <rFont val="Arial Narrow"/>
        <family val="2"/>
      </rPr>
      <t>P</t>
    </r>
    <r>
      <rPr>
        <b/>
        <i/>
        <vertAlign val="subscript"/>
        <sz val="11"/>
        <rFont val="Arial Narrow"/>
        <family val="2"/>
      </rPr>
      <t>x</t>
    </r>
    <r>
      <rPr>
        <b/>
        <sz val="11"/>
        <rFont val="Arial Narrow"/>
        <family val="2"/>
      </rPr>
      <t xml:space="preserve"> - 0-4</t>
    </r>
  </si>
  <si>
    <r>
      <rPr>
        <b/>
        <i/>
        <sz val="11"/>
        <rFont val="Arial Narrow"/>
        <family val="2"/>
      </rPr>
      <t>P</t>
    </r>
    <r>
      <rPr>
        <b/>
        <i/>
        <vertAlign val="subscript"/>
        <sz val="11"/>
        <rFont val="Arial Narrow"/>
        <family val="2"/>
      </rPr>
      <t>x</t>
    </r>
    <r>
      <rPr>
        <b/>
        <i/>
        <sz val="11"/>
        <rFont val="Arial Narrow"/>
        <family val="2"/>
      </rPr>
      <t xml:space="preserve"> </t>
    </r>
    <r>
      <rPr>
        <b/>
        <sz val="11"/>
        <rFont val="Arial Narrow"/>
        <family val="2"/>
      </rPr>
      <t>- 5-9</t>
    </r>
  </si>
  <si>
    <r>
      <rPr>
        <b/>
        <i/>
        <sz val="11"/>
        <rFont val="Arial Narrow"/>
        <family val="2"/>
      </rPr>
      <t>P</t>
    </r>
    <r>
      <rPr>
        <b/>
        <i/>
        <vertAlign val="subscript"/>
        <sz val="11"/>
        <rFont val="Arial Narrow"/>
        <family val="2"/>
      </rPr>
      <t>x</t>
    </r>
    <r>
      <rPr>
        <b/>
        <sz val="11"/>
        <rFont val="Arial Narrow"/>
        <family val="2"/>
      </rPr>
      <t xml:space="preserve"> - 10-14</t>
    </r>
  </si>
  <si>
    <t>Standardization of fertility rates</t>
  </si>
  <si>
    <r>
      <t xml:space="preserve">Total fertility by year is presented in cells </t>
    </r>
    <r>
      <rPr>
        <b/>
        <sz val="12"/>
        <rFont val="Arial"/>
        <family val="2"/>
      </rPr>
      <t>H3:H17</t>
    </r>
    <r>
      <rPr>
        <sz val="12"/>
        <rFont val="Arial"/>
        <family val="2"/>
      </rPr>
      <t xml:space="preserve"> of the </t>
    </r>
    <r>
      <rPr>
        <b/>
        <i/>
        <sz val="12"/>
        <rFont val="Arial"/>
        <family val="2"/>
      </rPr>
      <t>Method</t>
    </r>
    <r>
      <rPr>
        <sz val="12"/>
        <rFont val="Arial"/>
        <family val="2"/>
      </rPr>
      <t xml:space="preserve"> sheet</t>
    </r>
  </si>
  <si>
    <r>
      <t xml:space="preserve">Model life table logits </t>
    </r>
    <r>
      <rPr>
        <b/>
        <i/>
        <sz val="11"/>
        <rFont val="Arial Narrow"/>
        <family val="2"/>
      </rPr>
      <t>e</t>
    </r>
    <r>
      <rPr>
        <b/>
        <vertAlign val="subscript"/>
        <sz val="11"/>
        <rFont val="Arial Narrow"/>
        <family val="2"/>
      </rPr>
      <t>0</t>
    </r>
    <r>
      <rPr>
        <b/>
        <sz val="11"/>
        <rFont val="Arial Narrow"/>
        <family val="2"/>
      </rPr>
      <t>=60, females</t>
    </r>
  </si>
  <si>
    <t>This spreadsheet estimates fertility in each of the previous 15 years from a census (or large-scale survey) age distribution; estimates of the mortality of children and women of childbearing age during those 15 years; and (to estimate Total Fertility) estimates of - or assumptions about - the age pattern of fertility.</t>
  </si>
  <si>
    <t>Enter the country name and data descriptor in the green cell to the right.</t>
  </si>
  <si>
    <t>Total Fertility</t>
  </si>
  <si>
    <t>Selected life table</t>
  </si>
  <si>
    <t>Set the mortality parameters for the method in the green cells to the right.</t>
  </si>
  <si>
    <r>
      <t xml:space="preserve">Place the enumerated population of women aged 15-64, weighted where appropriate, in cells </t>
    </r>
    <r>
      <rPr>
        <b/>
        <sz val="12"/>
        <rFont val="Arial"/>
        <family val="2"/>
      </rPr>
      <t>D3:D13</t>
    </r>
    <r>
      <rPr>
        <sz val="12"/>
        <rFont val="Arial"/>
        <family val="2"/>
      </rPr>
      <t xml:space="preserve"> of the </t>
    </r>
    <r>
      <rPr>
        <b/>
        <i/>
        <sz val="12"/>
        <rFont val="Arial"/>
        <family val="2"/>
      </rPr>
      <t>Method</t>
    </r>
    <r>
      <rPr>
        <sz val="12"/>
        <rFont val="Arial"/>
        <family val="2"/>
      </rPr>
      <t xml:space="preserve"> sheet</t>
    </r>
  </si>
  <si>
    <r>
      <t xml:space="preserve">Place the enumerated population of children aged less than 15 of both sexes, weighted where appropriate, in cells </t>
    </r>
    <r>
      <rPr>
        <b/>
        <sz val="12"/>
        <rFont val="Arial"/>
        <family val="2"/>
      </rPr>
      <t>B3:B17</t>
    </r>
    <r>
      <rPr>
        <sz val="12"/>
        <rFont val="Arial"/>
        <family val="2"/>
      </rPr>
      <t xml:space="preserve"> of the </t>
    </r>
    <r>
      <rPr>
        <b/>
        <i/>
        <sz val="12"/>
        <rFont val="Arial"/>
        <family val="2"/>
      </rPr>
      <t>Method</t>
    </r>
    <r>
      <rPr>
        <sz val="12"/>
        <rFont val="Arial"/>
        <family val="2"/>
      </rPr>
      <t xml:space="preserve"> sheet</t>
    </r>
  </si>
  <si>
    <t>Set the assumptions about the age pattern of fertility in the green cells to the right. You can supply either estimates of age-specific fertility or the parameters of a Gompertz relational model of fertility. If you are assuming an unchanging age pattern of fertility, enter the information in the left-hand column of cells. If you are supplying information on fertility at two different dates, enter the later date and values in the left-hand column of cells and the earlier date and values in the right-hand column of cells.</t>
  </si>
  <si>
    <t>Date:</t>
  </si>
  <si>
    <t>Record the date of the inquiry in the green cell to the right.</t>
  </si>
  <si>
    <t>Malawi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</si>
</sst>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 * #,##0.00_ ;_ * \-#,##0.00_ ;_ * &quot;-&quot;??_ ;_ @_ "/>
    <numFmt numFmtId="165" formatCode="0.000"/>
    <numFmt numFmtId="166" formatCode="0.0000"/>
    <numFmt numFmtId="167" formatCode="General_)"/>
    <numFmt numFmtId="168" formatCode="[$-1C09]dd\ mmmm\ yyyy;@"/>
    <numFmt numFmtId="169" formatCode="0_)"/>
    <numFmt numFmtId="170" formatCode="0.0_)"/>
    <numFmt numFmtId="171" formatCode="0.00_)"/>
    <numFmt numFmtId="172" formatCode="0.0000_)"/>
    <numFmt numFmtId="173" formatCode="_ * #,##0_ ;_ * \-#,##0_ ;_ * &quot;-&quot;??_ ;_ @_ "/>
    <numFmt numFmtId="174" formatCode="0___)"/>
    <numFmt numFmtId="175" formatCode="_ * #,##0.000_ ;_ * \-#,##0.000_ ;_ * &quot;-&quot;??_ ;_ @_ "/>
    <numFmt numFmtId="176" formatCode="_ * #,##0.0000_ ;_ * \-#,##0.0000_ ;_ * &quot;-&quot;??_ ;_ @_ "/>
  </numFmts>
  <fonts count="27" x14ac:knownFonts="1">
    <font>
      <sz val="12"/>
      <color theme="1"/>
      <name val="Arial"/>
      <family val="2"/>
    </font>
    <font>
      <sz val="11"/>
      <color rgb="FF006100"/>
      <name val="Calibri"/>
      <family val="2"/>
      <scheme val="minor"/>
    </font>
    <font>
      <sz val="9"/>
      <color indexed="81"/>
      <name val="Tahoma"/>
      <family val="2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b/>
      <sz val="12"/>
      <color rgb="FF006100"/>
      <name val="Arial"/>
      <family val="2"/>
    </font>
    <font>
      <sz val="12"/>
      <color rgb="FF006100"/>
      <name val="Arial"/>
      <family val="2"/>
    </font>
    <font>
      <sz val="12"/>
      <color theme="1"/>
      <name val="Arial"/>
      <family val="2"/>
    </font>
    <font>
      <sz val="10"/>
      <color rgb="FF006100"/>
      <name val="Arial"/>
      <family val="2"/>
    </font>
    <font>
      <sz val="10"/>
      <color rgb="FF9C6500"/>
      <name val="Arial"/>
      <family val="2"/>
    </font>
    <font>
      <sz val="12"/>
      <name val="Helv"/>
    </font>
    <font>
      <sz val="11"/>
      <name val="Arial"/>
      <family val="2"/>
    </font>
    <font>
      <sz val="12"/>
      <name val="Courier"/>
      <family val="3"/>
    </font>
    <font>
      <b/>
      <sz val="11"/>
      <name val="Arial Narrow"/>
      <family val="2"/>
    </font>
    <font>
      <b/>
      <i/>
      <sz val="11"/>
      <name val="Arial Narrow"/>
      <family val="2"/>
    </font>
    <font>
      <b/>
      <vertAlign val="subscript"/>
      <sz val="11"/>
      <name val="Arial Narrow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vertAlign val="subscript"/>
      <sz val="11"/>
      <name val="Arial Narrow"/>
      <family val="2"/>
    </font>
    <font>
      <b/>
      <sz val="10"/>
      <color rgb="FF9C6500"/>
      <name val="Arial"/>
      <family val="2"/>
    </font>
    <font>
      <sz val="12"/>
      <color rgb="FFFF0000"/>
      <name val="Arial"/>
      <family val="2"/>
    </font>
    <font>
      <sz val="11"/>
      <color theme="1"/>
      <name val="Arial Narrow"/>
      <family val="2"/>
    </font>
    <font>
      <b/>
      <i/>
      <sz val="12"/>
      <name val="Arial"/>
      <family val="2"/>
    </font>
    <font>
      <u/>
      <sz val="12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EB9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rgb="FF006100"/>
      </left>
      <right/>
      <top style="thin">
        <color rgb="FF006100"/>
      </top>
      <bottom/>
      <diagonal/>
    </border>
    <border>
      <left/>
      <right/>
      <top style="thin">
        <color rgb="FF006100"/>
      </top>
      <bottom/>
      <diagonal/>
    </border>
    <border>
      <left/>
      <right style="medium">
        <color indexed="64"/>
      </right>
      <top style="thin">
        <color rgb="FF006100"/>
      </top>
      <bottom/>
      <diagonal/>
    </border>
    <border>
      <left style="thin">
        <color rgb="FF006100"/>
      </left>
      <right/>
      <top/>
      <bottom style="thin">
        <color rgb="FF006100"/>
      </bottom>
      <diagonal/>
    </border>
    <border>
      <left/>
      <right/>
      <top/>
      <bottom style="thin">
        <color rgb="FF006100"/>
      </bottom>
      <diagonal/>
    </border>
    <border>
      <left/>
      <right style="medium">
        <color indexed="64"/>
      </right>
      <top/>
      <bottom style="thin">
        <color rgb="FF006100"/>
      </bottom>
      <diagonal/>
    </border>
  </borders>
  <cellStyleXfs count="8">
    <xf numFmtId="0" fontId="0" fillId="0" borderId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0"/>
    <xf numFmtId="0" fontId="7" fillId="0" borderId="0" applyNumberFormat="0" applyFill="0" applyBorder="0" applyAlignment="0" applyProtection="0">
      <alignment vertical="top"/>
      <protection locked="0"/>
    </xf>
    <xf numFmtId="169" fontId="13" fillId="0" borderId="0"/>
    <xf numFmtId="167" fontId="15" fillId="0" borderId="0"/>
    <xf numFmtId="164" fontId="19" fillId="0" borderId="0" applyFont="0" applyFill="0" applyBorder="0" applyAlignment="0" applyProtection="0"/>
  </cellStyleXfs>
  <cellXfs count="171">
    <xf numFmtId="0" fontId="0" fillId="0" borderId="0" xfId="0"/>
    <xf numFmtId="169" fontId="14" fillId="0" borderId="0" xfId="5" applyFont="1"/>
    <xf numFmtId="170" fontId="14" fillId="0" borderId="0" xfId="5" applyNumberFormat="1" applyFont="1"/>
    <xf numFmtId="171" fontId="14" fillId="0" borderId="0" xfId="5" applyNumberFormat="1" applyFont="1"/>
    <xf numFmtId="169" fontId="4" fillId="0" borderId="0" xfId="5" applyFont="1" applyAlignment="1" applyProtection="1"/>
    <xf numFmtId="171" fontId="4" fillId="0" borderId="0" xfId="5" applyNumberFormat="1" applyFont="1" applyAlignment="1" applyProtection="1"/>
    <xf numFmtId="172" fontId="4" fillId="0" borderId="0" xfId="5" applyNumberFormat="1" applyFont="1" applyAlignment="1" applyProtection="1"/>
    <xf numFmtId="2" fontId="11" fillId="0" borderId="0" xfId="1" applyNumberFormat="1" applyFont="1" applyFill="1" applyBorder="1" applyAlignment="1" applyProtection="1">
      <alignment horizontal="right"/>
      <protection locked="0"/>
    </xf>
    <xf numFmtId="169" fontId="4" fillId="0" borderId="0" xfId="5" applyFont="1" applyFill="1" applyAlignment="1" applyProtection="1">
      <alignment horizontal="right"/>
    </xf>
    <xf numFmtId="169" fontId="6" fillId="0" borderId="0" xfId="5" applyFont="1" applyAlignment="1" applyProtection="1"/>
    <xf numFmtId="167" fontId="16" fillId="5" borderId="9" xfId="6" applyFont="1" applyFill="1" applyBorder="1" applyAlignment="1" applyProtection="1">
      <alignment horizontal="center"/>
    </xf>
    <xf numFmtId="169" fontId="4" fillId="6" borderId="0" xfId="5" applyFont="1" applyFill="1" applyAlignment="1" applyProtection="1"/>
    <xf numFmtId="169" fontId="16" fillId="0" borderId="9" xfId="5" applyFont="1" applyFill="1" applyBorder="1" applyAlignment="1" applyProtection="1">
      <alignment horizontal="center"/>
    </xf>
    <xf numFmtId="169" fontId="16" fillId="0" borderId="0" xfId="5" applyFont="1" applyBorder="1" applyAlignment="1" applyProtection="1">
      <alignment horizontal="center"/>
    </xf>
    <xf numFmtId="169" fontId="20" fillId="0" borderId="0" xfId="5" applyFont="1" applyAlignment="1" applyProtection="1">
      <alignment horizontal="right"/>
    </xf>
    <xf numFmtId="172" fontId="20" fillId="0" borderId="0" xfId="5" applyNumberFormat="1" applyFont="1" applyAlignment="1" applyProtection="1">
      <alignment horizontal="right"/>
    </xf>
    <xf numFmtId="167" fontId="16" fillId="0" borderId="9" xfId="6" applyFont="1" applyFill="1" applyBorder="1" applyAlignment="1" applyProtection="1">
      <alignment horizontal="center"/>
    </xf>
    <xf numFmtId="167" fontId="17" fillId="0" borderId="9" xfId="6" applyFont="1" applyFill="1" applyBorder="1" applyAlignment="1" applyProtection="1">
      <alignment horizontal="center"/>
    </xf>
    <xf numFmtId="169" fontId="20" fillId="0" borderId="0" xfId="5" applyFont="1" applyFill="1" applyBorder="1" applyAlignment="1" applyProtection="1">
      <alignment horizontal="right"/>
    </xf>
    <xf numFmtId="169" fontId="4" fillId="0" borderId="0" xfId="5" applyFont="1" applyBorder="1" applyAlignment="1" applyProtection="1"/>
    <xf numFmtId="169" fontId="16" fillId="0" borderId="9" xfId="5" applyFont="1" applyFill="1" applyBorder="1" applyAlignment="1" applyProtection="1"/>
    <xf numFmtId="169" fontId="20" fillId="0" borderId="0" xfId="5" applyFont="1" applyAlignment="1" applyProtection="1"/>
    <xf numFmtId="171" fontId="12" fillId="3" borderId="0" xfId="2" applyNumberFormat="1" applyFont="1" applyAlignment="1" applyProtection="1"/>
    <xf numFmtId="173" fontId="4" fillId="0" borderId="0" xfId="7" applyNumberFormat="1" applyFont="1" applyAlignment="1" applyProtection="1"/>
    <xf numFmtId="0" fontId="4" fillId="6" borderId="0" xfId="3" applyFont="1" applyFill="1" applyAlignment="1"/>
    <xf numFmtId="169" fontId="4" fillId="6" borderId="3" xfId="5" applyFont="1" applyFill="1" applyBorder="1" applyAlignment="1" applyProtection="1"/>
    <xf numFmtId="169" fontId="4" fillId="6" borderId="1" xfId="5" applyFont="1" applyFill="1" applyBorder="1" applyAlignment="1" applyProtection="1"/>
    <xf numFmtId="169" fontId="4" fillId="6" borderId="4" xfId="5" applyFont="1" applyFill="1" applyBorder="1" applyAlignment="1" applyProtection="1"/>
    <xf numFmtId="169" fontId="4" fillId="0" borderId="0" xfId="5" applyFont="1" applyFill="1" applyAlignment="1" applyProtection="1"/>
    <xf numFmtId="171" fontId="22" fillId="3" borderId="0" xfId="2" applyNumberFormat="1" applyFont="1" applyAlignment="1" applyProtection="1"/>
    <xf numFmtId="169" fontId="16" fillId="0" borderId="2" xfId="5" applyFont="1" applyBorder="1" applyAlignment="1" applyProtection="1">
      <alignment horizontal="left"/>
    </xf>
    <xf numFmtId="171" fontId="20" fillId="0" borderId="9" xfId="5" applyNumberFormat="1" applyFont="1" applyBorder="1" applyAlignment="1" applyProtection="1"/>
    <xf numFmtId="169" fontId="6" fillId="0" borderId="5" xfId="5" applyFont="1" applyBorder="1" applyAlignment="1" applyProtection="1"/>
    <xf numFmtId="169" fontId="6" fillId="0" borderId="0" xfId="5" applyFont="1" applyBorder="1" applyAlignment="1" applyProtection="1"/>
    <xf numFmtId="169" fontId="6" fillId="0" borderId="8" xfId="5" applyFont="1" applyBorder="1" applyAlignment="1" applyProtection="1"/>
    <xf numFmtId="169" fontId="6" fillId="0" borderId="0" xfId="5" applyFont="1" applyBorder="1" applyAlignment="1" applyProtection="1">
      <alignment horizontal="right"/>
    </xf>
    <xf numFmtId="169" fontId="6" fillId="0" borderId="8" xfId="5" applyFont="1" applyBorder="1" applyAlignment="1" applyProtection="1">
      <alignment horizontal="right"/>
    </xf>
    <xf numFmtId="169" fontId="6" fillId="0" borderId="10" xfId="5" applyFont="1" applyBorder="1" applyAlignment="1" applyProtection="1"/>
    <xf numFmtId="169" fontId="6" fillId="0" borderId="13" xfId="5" applyFont="1" applyBorder="1" applyAlignment="1" applyProtection="1"/>
    <xf numFmtId="169" fontId="6" fillId="0" borderId="11" xfId="5" applyFont="1" applyBorder="1" applyAlignment="1" applyProtection="1"/>
    <xf numFmtId="169" fontId="6" fillId="0" borderId="6" xfId="5" applyFont="1" applyBorder="1" applyAlignment="1" applyProtection="1">
      <alignment horizontal="right"/>
    </xf>
    <xf numFmtId="169" fontId="6" fillId="0" borderId="5" xfId="5" applyFont="1" applyBorder="1" applyAlignment="1" applyProtection="1">
      <alignment horizontal="right"/>
    </xf>
    <xf numFmtId="169" fontId="6" fillId="0" borderId="13" xfId="5" applyFont="1" applyBorder="1" applyAlignment="1" applyProtection="1">
      <alignment horizontal="right"/>
    </xf>
    <xf numFmtId="171" fontId="20" fillId="0" borderId="0" xfId="5" applyNumberFormat="1" applyFont="1" applyAlignment="1" applyProtection="1">
      <alignment horizontal="right"/>
    </xf>
    <xf numFmtId="169" fontId="16" fillId="0" borderId="2" xfId="5" applyFont="1" applyBorder="1" applyAlignment="1" applyProtection="1">
      <alignment horizontal="center"/>
    </xf>
    <xf numFmtId="169" fontId="16" fillId="0" borderId="2" xfId="5" applyFont="1" applyBorder="1" applyAlignment="1" applyProtection="1">
      <alignment horizontal="left"/>
    </xf>
    <xf numFmtId="173" fontId="11" fillId="2" borderId="0" xfId="7" applyNumberFormat="1" applyFont="1" applyFill="1" applyBorder="1" applyAlignment="1" applyProtection="1">
      <alignment horizontal="right"/>
      <protection locked="0"/>
    </xf>
    <xf numFmtId="169" fontId="20" fillId="0" borderId="0" xfId="5" applyFont="1" applyBorder="1" applyAlignment="1" applyProtection="1">
      <alignment horizontal="right"/>
    </xf>
    <xf numFmtId="169" fontId="16" fillId="0" borderId="9" xfId="5" applyFont="1" applyBorder="1" applyAlignment="1" applyProtection="1">
      <alignment horizontal="center"/>
    </xf>
    <xf numFmtId="169" fontId="20" fillId="0" borderId="2" xfId="5" applyFont="1" applyBorder="1" applyAlignment="1" applyProtection="1"/>
    <xf numFmtId="173" fontId="11" fillId="2" borderId="2" xfId="7" applyNumberFormat="1" applyFont="1" applyFill="1" applyBorder="1" applyAlignment="1" applyProtection="1">
      <alignment horizontal="right"/>
      <protection locked="0"/>
    </xf>
    <xf numFmtId="169" fontId="4" fillId="0" borderId="2" xfId="5" applyFont="1" applyBorder="1" applyAlignment="1" applyProtection="1"/>
    <xf numFmtId="171" fontId="22" fillId="3" borderId="2" xfId="2" applyNumberFormat="1" applyFont="1" applyBorder="1" applyAlignment="1" applyProtection="1"/>
    <xf numFmtId="171" fontId="12" fillId="3" borderId="2" xfId="2" applyNumberFormat="1" applyFont="1" applyBorder="1" applyAlignment="1" applyProtection="1"/>
    <xf numFmtId="173" fontId="4" fillId="0" borderId="2" xfId="7" applyNumberFormat="1" applyFont="1" applyBorder="1" applyAlignment="1" applyProtection="1"/>
    <xf numFmtId="169" fontId="20" fillId="0" borderId="9" xfId="5" applyFont="1" applyBorder="1" applyAlignment="1" applyProtection="1">
      <alignment horizontal="center"/>
    </xf>
    <xf numFmtId="169" fontId="20" fillId="0" borderId="2" xfId="5" applyFont="1" applyFill="1" applyBorder="1" applyAlignment="1" applyProtection="1">
      <alignment horizontal="right"/>
    </xf>
    <xf numFmtId="172" fontId="4" fillId="0" borderId="2" xfId="5" applyNumberFormat="1" applyFont="1" applyBorder="1" applyAlignment="1" applyProtection="1"/>
    <xf numFmtId="169" fontId="4" fillId="0" borderId="2" xfId="5" applyFont="1" applyFill="1" applyBorder="1" applyAlignment="1" applyProtection="1"/>
    <xf numFmtId="166" fontId="9" fillId="2" borderId="0" xfId="1" applyNumberFormat="1" applyFont="1" applyBorder="1" applyAlignment="1" applyProtection="1">
      <alignment horizontal="right"/>
      <protection locked="0"/>
    </xf>
    <xf numFmtId="166" fontId="9" fillId="2" borderId="13" xfId="1" applyNumberFormat="1" applyFont="1" applyBorder="1" applyAlignment="1" applyProtection="1">
      <alignment horizontal="right"/>
      <protection locked="0"/>
    </xf>
    <xf numFmtId="166" fontId="9" fillId="2" borderId="8" xfId="1" applyNumberFormat="1" applyFont="1" applyBorder="1" applyAlignment="1" applyProtection="1">
      <alignment horizontal="right"/>
      <protection locked="0"/>
    </xf>
    <xf numFmtId="166" fontId="9" fillId="2" borderId="11" xfId="1" applyNumberFormat="1" applyFont="1" applyBorder="1" applyAlignment="1" applyProtection="1">
      <alignment horizontal="right"/>
      <protection locked="0"/>
    </xf>
    <xf numFmtId="0" fontId="6" fillId="0" borderId="0" xfId="3" applyFont="1" applyAlignment="1" applyProtection="1">
      <alignment wrapText="1"/>
    </xf>
    <xf numFmtId="0" fontId="6" fillId="0" borderId="0" xfId="3" applyFont="1" applyAlignment="1" applyProtection="1">
      <alignment horizontal="center" wrapText="1"/>
    </xf>
    <xf numFmtId="0" fontId="4" fillId="0" borderId="0" xfId="3" applyFont="1" applyAlignment="1" applyProtection="1">
      <alignment wrapText="1"/>
    </xf>
    <xf numFmtId="0" fontId="6" fillId="0" borderId="0" xfId="3" applyFont="1" applyProtection="1"/>
    <xf numFmtId="0" fontId="6" fillId="0" borderId="0" xfId="3" applyFont="1" applyAlignment="1" applyProtection="1">
      <alignment horizontal="center"/>
    </xf>
    <xf numFmtId="0" fontId="4" fillId="0" borderId="0" xfId="3" applyFont="1" applyProtection="1"/>
    <xf numFmtId="0" fontId="6" fillId="0" borderId="0" xfId="3" applyFont="1" applyBorder="1" applyProtection="1"/>
    <xf numFmtId="0" fontId="5" fillId="0" borderId="0" xfId="3" applyFont="1" applyProtection="1"/>
    <xf numFmtId="0" fontId="6" fillId="0" borderId="0" xfId="3" applyFont="1" applyAlignment="1" applyProtection="1">
      <alignment vertical="top"/>
    </xf>
    <xf numFmtId="0" fontId="6" fillId="0" borderId="0" xfId="3" applyFont="1" applyAlignment="1" applyProtection="1">
      <alignment vertical="top" wrapText="1"/>
    </xf>
    <xf numFmtId="0" fontId="6" fillId="0" borderId="6" xfId="3" applyFont="1" applyBorder="1" applyAlignment="1" applyProtection="1">
      <alignment horizontal="right"/>
    </xf>
    <xf numFmtId="0" fontId="6" fillId="0" borderId="5" xfId="3" applyFont="1" applyBorder="1" applyAlignment="1" applyProtection="1">
      <alignment horizontal="right"/>
    </xf>
    <xf numFmtId="0" fontId="10" fillId="0" borderId="10" xfId="3" applyFont="1" applyBorder="1" applyAlignment="1" applyProtection="1">
      <alignment horizontal="right"/>
    </xf>
    <xf numFmtId="0" fontId="4" fillId="0" borderId="0" xfId="3" applyFont="1" applyBorder="1" applyProtection="1"/>
    <xf numFmtId="0" fontId="5" fillId="0" borderId="0" xfId="3" applyFont="1" applyAlignment="1" applyProtection="1">
      <alignment horizontal="left"/>
    </xf>
    <xf numFmtId="0" fontId="4" fillId="0" borderId="6" xfId="3" applyFont="1" applyBorder="1" applyProtection="1"/>
    <xf numFmtId="0" fontId="6" fillId="0" borderId="5" xfId="3" applyFont="1" applyBorder="1" applyAlignment="1" applyProtection="1"/>
    <xf numFmtId="0" fontId="5" fillId="0" borderId="0" xfId="3" applyFont="1" applyBorder="1" applyAlignment="1" applyProtection="1">
      <alignment horizontal="center"/>
    </xf>
    <xf numFmtId="0" fontId="5" fillId="0" borderId="8" xfId="3" applyFont="1" applyBorder="1" applyAlignment="1" applyProtection="1">
      <alignment horizontal="center"/>
    </xf>
    <xf numFmtId="0" fontId="5" fillId="0" borderId="5" xfId="3" applyFont="1" applyBorder="1" applyAlignment="1" applyProtection="1">
      <alignment horizontal="right"/>
    </xf>
    <xf numFmtId="0" fontId="6" fillId="0" borderId="5" xfId="3" applyFont="1" applyBorder="1" applyProtection="1"/>
    <xf numFmtId="0" fontId="6" fillId="0" borderId="10" xfId="3" applyFont="1" applyBorder="1" applyProtection="1"/>
    <xf numFmtId="0" fontId="23" fillId="0" borderId="0" xfId="3" applyFont="1" applyAlignment="1" applyProtection="1">
      <alignment wrapText="1"/>
    </xf>
    <xf numFmtId="0" fontId="23" fillId="0" borderId="0" xfId="3" applyFont="1" applyAlignment="1" applyProtection="1">
      <alignment vertical="top" wrapText="1"/>
    </xf>
    <xf numFmtId="174" fontId="12" fillId="3" borderId="0" xfId="2" applyNumberFormat="1" applyFont="1" applyAlignment="1" applyProtection="1"/>
    <xf numFmtId="174" fontId="12" fillId="3" borderId="2" xfId="2" applyNumberFormat="1" applyFont="1" applyBorder="1" applyAlignment="1" applyProtection="1"/>
    <xf numFmtId="169" fontId="16" fillId="0" borderId="2" xfId="5" applyFont="1" applyBorder="1" applyAlignment="1" applyProtection="1">
      <alignment horizontal="left"/>
    </xf>
    <xf numFmtId="171" fontId="20" fillId="0" borderId="2" xfId="5" applyNumberFormat="1" applyFont="1" applyBorder="1" applyAlignment="1" applyProtection="1">
      <alignment horizontal="right"/>
    </xf>
    <xf numFmtId="170" fontId="20" fillId="0" borderId="0" xfId="5" applyNumberFormat="1" applyFont="1" applyAlignment="1" applyProtection="1"/>
    <xf numFmtId="2" fontId="0" fillId="0" borderId="0" xfId="0" applyNumberFormat="1"/>
    <xf numFmtId="169" fontId="20" fillId="5" borderId="0" xfId="5" applyNumberFormat="1" applyFont="1" applyFill="1" applyAlignment="1" applyProtection="1"/>
    <xf numFmtId="172" fontId="4" fillId="5" borderId="0" xfId="5" applyNumberFormat="1" applyFont="1" applyFill="1" applyAlignment="1" applyProtection="1"/>
    <xf numFmtId="169" fontId="20" fillId="5" borderId="2" xfId="5" applyNumberFormat="1" applyFont="1" applyFill="1" applyBorder="1" applyAlignment="1" applyProtection="1"/>
    <xf numFmtId="172" fontId="4" fillId="5" borderId="2" xfId="5" applyNumberFormat="1" applyFont="1" applyFill="1" applyBorder="1" applyAlignment="1" applyProtection="1"/>
    <xf numFmtId="169" fontId="16" fillId="5" borderId="9" xfId="5" applyFont="1" applyFill="1" applyBorder="1" applyAlignment="1" applyProtection="1">
      <alignment horizontal="center"/>
    </xf>
    <xf numFmtId="169" fontId="20" fillId="5" borderId="0" xfId="5" applyFont="1" applyFill="1" applyAlignment="1" applyProtection="1"/>
    <xf numFmtId="169" fontId="20" fillId="5" borderId="2" xfId="5" applyFont="1" applyFill="1" applyBorder="1" applyAlignment="1" applyProtection="1"/>
    <xf numFmtId="169" fontId="20" fillId="0" borderId="2" xfId="5" applyFont="1" applyBorder="1" applyAlignment="1" applyProtection="1">
      <alignment horizontal="center"/>
    </xf>
    <xf numFmtId="172" fontId="4" fillId="0" borderId="0" xfId="5" applyNumberFormat="1" applyFont="1" applyBorder="1" applyAlignment="1" applyProtection="1"/>
    <xf numFmtId="169" fontId="20" fillId="0" borderId="0" xfId="5" quotePrefix="1" applyFont="1" applyAlignment="1" applyProtection="1">
      <alignment horizontal="center"/>
    </xf>
    <xf numFmtId="169" fontId="20" fillId="0" borderId="0" xfId="5" quotePrefix="1" applyFont="1" applyBorder="1" applyAlignment="1" applyProtection="1">
      <alignment horizontal="center"/>
    </xf>
    <xf numFmtId="169" fontId="4" fillId="0" borderId="9" xfId="5" applyFont="1" applyBorder="1" applyAlignment="1" applyProtection="1"/>
    <xf numFmtId="172" fontId="20" fillId="0" borderId="2" xfId="5" applyNumberFormat="1" applyFont="1" applyBorder="1" applyAlignment="1" applyProtection="1">
      <alignment horizontal="right"/>
    </xf>
    <xf numFmtId="169" fontId="20" fillId="0" borderId="0" xfId="5" applyFont="1" applyBorder="1" applyAlignment="1" applyProtection="1"/>
    <xf numFmtId="172" fontId="20" fillId="0" borderId="0" xfId="5" applyNumberFormat="1" applyFont="1" applyBorder="1" applyAlignment="1" applyProtection="1">
      <alignment horizontal="right"/>
    </xf>
    <xf numFmtId="171" fontId="20" fillId="0" borderId="0" xfId="5" applyNumberFormat="1" applyFont="1" applyBorder="1" applyAlignment="1" applyProtection="1"/>
    <xf numFmtId="169" fontId="4" fillId="0" borderId="0" xfId="5" applyFont="1" applyFill="1" applyBorder="1" applyAlignment="1" applyProtection="1"/>
    <xf numFmtId="169" fontId="4" fillId="6" borderId="14" xfId="5" applyFont="1" applyFill="1" applyBorder="1" applyAlignment="1" applyProtection="1"/>
    <xf numFmtId="169" fontId="4" fillId="6" borderId="15" xfId="5" applyFont="1" applyFill="1" applyBorder="1" applyAlignment="1" applyProtection="1"/>
    <xf numFmtId="175" fontId="11" fillId="2" borderId="0" xfId="7" applyNumberFormat="1" applyFont="1" applyFill="1" applyBorder="1" applyAlignment="1" applyProtection="1">
      <alignment horizontal="right"/>
      <protection locked="0"/>
    </xf>
    <xf numFmtId="176" fontId="11" fillId="2" borderId="0" xfId="7" applyNumberFormat="1" applyFont="1" applyFill="1" applyBorder="1" applyAlignment="1" applyProtection="1">
      <alignment horizontal="right"/>
      <protection locked="0"/>
    </xf>
    <xf numFmtId="176" fontId="11" fillId="2" borderId="2" xfId="7" applyNumberFormat="1" applyFont="1" applyFill="1" applyBorder="1" applyAlignment="1" applyProtection="1">
      <alignment horizontal="right"/>
      <protection locked="0"/>
    </xf>
    <xf numFmtId="176" fontId="11" fillId="0" borderId="0" xfId="7" applyNumberFormat="1" applyFont="1" applyFill="1" applyBorder="1" applyAlignment="1" applyProtection="1">
      <alignment horizontal="right"/>
      <protection locked="0"/>
    </xf>
    <xf numFmtId="167" fontId="16" fillId="5" borderId="0" xfId="6" applyFont="1" applyFill="1" applyBorder="1" applyAlignment="1" applyProtection="1">
      <alignment horizontal="center"/>
    </xf>
    <xf numFmtId="167" fontId="16" fillId="0" borderId="0" xfId="6" applyFont="1" applyFill="1" applyBorder="1" applyAlignment="1" applyProtection="1">
      <alignment horizontal="center"/>
    </xf>
    <xf numFmtId="175" fontId="11" fillId="0" borderId="0" xfId="7" applyNumberFormat="1" applyFont="1" applyFill="1" applyBorder="1" applyAlignment="1" applyProtection="1">
      <alignment horizontal="right"/>
      <protection locked="0"/>
    </xf>
    <xf numFmtId="172" fontId="4" fillId="0" borderId="0" xfId="5" applyNumberFormat="1" applyFont="1" applyFill="1" applyAlignment="1" applyProtection="1"/>
    <xf numFmtId="0" fontId="0" fillId="0" borderId="0" xfId="0" applyFill="1" applyBorder="1" applyAlignment="1"/>
    <xf numFmtId="172" fontId="4" fillId="0" borderId="0" xfId="5" applyNumberFormat="1" applyFont="1" applyFill="1" applyBorder="1" applyAlignment="1" applyProtection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175" fontId="11" fillId="2" borderId="2" xfId="7" applyNumberFormat="1" applyFont="1" applyFill="1" applyBorder="1" applyAlignment="1" applyProtection="1">
      <alignment horizontal="right"/>
      <protection locked="0"/>
    </xf>
    <xf numFmtId="169" fontId="20" fillId="0" borderId="0" xfId="5" applyNumberFormat="1" applyFont="1" applyFill="1" applyAlignment="1" applyProtection="1"/>
    <xf numFmtId="172" fontId="4" fillId="5" borderId="0" xfId="5" applyNumberFormat="1" applyFont="1" applyFill="1" applyAlignment="1" applyProtection="1">
      <protection hidden="1"/>
    </xf>
    <xf numFmtId="172" fontId="4" fillId="5" borderId="2" xfId="5" applyNumberFormat="1" applyFont="1" applyFill="1" applyBorder="1" applyAlignment="1" applyProtection="1">
      <protection hidden="1"/>
    </xf>
    <xf numFmtId="169" fontId="20" fillId="0" borderId="0" xfId="5" applyNumberFormat="1" applyFont="1" applyFill="1" applyBorder="1" applyAlignment="1" applyProtection="1"/>
    <xf numFmtId="2" fontId="9" fillId="2" borderId="18" xfId="1" applyNumberFormat="1" applyFont="1" applyBorder="1" applyAlignment="1" applyProtection="1">
      <alignment horizontal="right"/>
      <protection locked="0"/>
    </xf>
    <xf numFmtId="2" fontId="9" fillId="2" borderId="19" xfId="1" applyNumberFormat="1" applyFont="1" applyBorder="1" applyAlignment="1" applyProtection="1">
      <alignment horizontal="right"/>
      <protection locked="0"/>
    </xf>
    <xf numFmtId="2" fontId="9" fillId="2" borderId="20" xfId="1" applyNumberFormat="1" applyFont="1" applyBorder="1" applyAlignment="1" applyProtection="1">
      <alignment horizontal="right"/>
      <protection locked="0"/>
    </xf>
    <xf numFmtId="2" fontId="9" fillId="2" borderId="21" xfId="1" applyNumberFormat="1" applyFont="1" applyBorder="1" applyAlignment="1" applyProtection="1">
      <alignment horizontal="right"/>
      <protection locked="0"/>
    </xf>
    <xf numFmtId="2" fontId="9" fillId="2" borderId="22" xfId="1" applyNumberFormat="1" applyFont="1" applyBorder="1" applyAlignment="1" applyProtection="1">
      <alignment horizontal="right"/>
      <protection locked="0"/>
    </xf>
    <xf numFmtId="2" fontId="9" fillId="2" borderId="23" xfId="1" applyNumberFormat="1" applyFont="1" applyBorder="1" applyAlignment="1" applyProtection="1">
      <alignment horizontal="right"/>
      <protection locked="0"/>
    </xf>
    <xf numFmtId="0" fontId="6" fillId="0" borderId="0" xfId="3" applyFont="1" applyAlignment="1" applyProtection="1">
      <alignment vertical="center"/>
    </xf>
    <xf numFmtId="171" fontId="4" fillId="0" borderId="2" xfId="5" applyNumberFormat="1" applyFont="1" applyBorder="1" applyAlignment="1" applyProtection="1"/>
    <xf numFmtId="14" fontId="9" fillId="7" borderId="0" xfId="5" applyNumberFormat="1" applyFont="1" applyFill="1" applyBorder="1" applyAlignment="1" applyProtection="1">
      <protection locked="0"/>
    </xf>
    <xf numFmtId="14" fontId="9" fillId="7" borderId="8" xfId="5" applyNumberFormat="1" applyFont="1" applyFill="1" applyBorder="1" applyAlignment="1" applyProtection="1">
      <alignment horizontal="center"/>
      <protection locked="0"/>
    </xf>
    <xf numFmtId="171" fontId="4" fillId="6" borderId="0" xfId="5" applyNumberFormat="1" applyFont="1" applyFill="1" applyAlignment="1" applyProtection="1">
      <alignment horizontal="left"/>
    </xf>
    <xf numFmtId="168" fontId="9" fillId="2" borderId="0" xfId="1" applyNumberFormat="1" applyFont="1" applyBorder="1" applyAlignment="1" applyProtection="1">
      <alignment horizontal="right"/>
      <protection locked="0"/>
    </xf>
    <xf numFmtId="168" fontId="9" fillId="2" borderId="8" xfId="1" applyNumberFormat="1" applyFont="1" applyBorder="1" applyAlignment="1" applyProtection="1">
      <alignment horizontal="right"/>
      <protection locked="0"/>
    </xf>
    <xf numFmtId="0" fontId="5" fillId="4" borderId="16" xfId="3" applyFont="1" applyFill="1" applyBorder="1" applyAlignment="1" applyProtection="1">
      <alignment horizontal="center" wrapText="1"/>
    </xf>
    <xf numFmtId="0" fontId="5" fillId="4" borderId="17" xfId="3" applyFont="1" applyFill="1" applyBorder="1" applyAlignment="1" applyProtection="1">
      <alignment horizontal="center" wrapText="1"/>
    </xf>
    <xf numFmtId="0" fontId="6" fillId="0" borderId="0" xfId="3" applyFont="1" applyFill="1" applyAlignment="1" applyProtection="1">
      <alignment horizontal="left"/>
    </xf>
    <xf numFmtId="0" fontId="6" fillId="0" borderId="0" xfId="3" applyFont="1" applyAlignment="1" applyProtection="1">
      <alignment horizontal="left" vertical="top" wrapText="1"/>
    </xf>
    <xf numFmtId="165" fontId="8" fillId="2" borderId="12" xfId="1" applyNumberFormat="1" applyFont="1" applyBorder="1" applyAlignment="1" applyProtection="1">
      <alignment horizontal="center"/>
      <protection locked="0"/>
    </xf>
    <xf numFmtId="165" fontId="8" fillId="2" borderId="7" xfId="1" applyNumberFormat="1" applyFont="1" applyBorder="1" applyAlignment="1" applyProtection="1">
      <alignment horizontal="center"/>
      <protection locked="0"/>
    </xf>
    <xf numFmtId="14" fontId="9" fillId="2" borderId="13" xfId="1" applyNumberFormat="1" applyFont="1" applyBorder="1" applyAlignment="1" applyProtection="1">
      <alignment horizontal="center"/>
      <protection locked="0"/>
    </xf>
    <xf numFmtId="14" fontId="9" fillId="2" borderId="11" xfId="1" applyNumberFormat="1" applyFont="1" applyBorder="1" applyAlignment="1" applyProtection="1">
      <alignment horizontal="center"/>
      <protection locked="0"/>
    </xf>
    <xf numFmtId="0" fontId="9" fillId="5" borderId="0" xfId="1" applyFont="1" applyFill="1" applyBorder="1" applyAlignment="1" applyProtection="1">
      <alignment horizontal="center"/>
    </xf>
    <xf numFmtId="0" fontId="9" fillId="5" borderId="8" xfId="1" applyFont="1" applyFill="1" applyBorder="1" applyAlignment="1" applyProtection="1">
      <alignment horizontal="center"/>
    </xf>
    <xf numFmtId="0" fontId="5" fillId="0" borderId="12" xfId="3" applyFont="1" applyBorder="1" applyAlignment="1" applyProtection="1">
      <alignment horizontal="center"/>
    </xf>
    <xf numFmtId="0" fontId="5" fillId="0" borderId="7" xfId="3" applyFont="1" applyBorder="1" applyAlignment="1" applyProtection="1">
      <alignment horizontal="center"/>
    </xf>
    <xf numFmtId="0" fontId="5" fillId="0" borderId="0" xfId="3" applyFont="1" applyBorder="1" applyAlignment="1" applyProtection="1">
      <alignment horizontal="center"/>
    </xf>
    <xf numFmtId="0" fontId="5" fillId="0" borderId="8" xfId="3" applyFont="1" applyBorder="1" applyAlignment="1" applyProtection="1">
      <alignment horizontal="center"/>
    </xf>
    <xf numFmtId="168" fontId="9" fillId="2" borderId="12" xfId="1" applyNumberFormat="1" applyFont="1" applyBorder="1" applyAlignment="1" applyProtection="1">
      <alignment horizontal="right"/>
      <protection locked="0"/>
    </xf>
    <xf numFmtId="168" fontId="9" fillId="2" borderId="7" xfId="1" applyNumberFormat="1" applyFont="1" applyBorder="1" applyAlignment="1" applyProtection="1">
      <alignment horizontal="right"/>
      <protection locked="0"/>
    </xf>
    <xf numFmtId="167" fontId="26" fillId="0" borderId="5" xfId="4" applyNumberFormat="1" applyFont="1" applyFill="1" applyBorder="1" applyAlignment="1" applyProtection="1">
      <alignment horizontal="left"/>
      <protection locked="0"/>
    </xf>
    <xf numFmtId="0" fontId="10" fillId="0" borderId="0" xfId="0" applyFont="1" applyAlignment="1" applyProtection="1">
      <alignment horizontal="left"/>
      <protection locked="0"/>
    </xf>
    <xf numFmtId="0" fontId="6" fillId="0" borderId="0" xfId="3" applyFont="1" applyBorder="1" applyAlignment="1" applyProtection="1">
      <alignment vertical="top" wrapText="1"/>
    </xf>
    <xf numFmtId="0" fontId="0" fillId="0" borderId="0" xfId="0" applyBorder="1" applyAlignment="1">
      <alignment wrapText="1"/>
    </xf>
    <xf numFmtId="167" fontId="16" fillId="5" borderId="2" xfId="6" applyFont="1" applyFill="1" applyBorder="1" applyAlignment="1" applyProtection="1">
      <alignment horizontal="center"/>
    </xf>
    <xf numFmtId="169" fontId="20" fillId="6" borderId="0" xfId="5" applyFont="1" applyFill="1" applyAlignment="1" applyProtection="1">
      <alignment horizontal="center"/>
    </xf>
    <xf numFmtId="167" fontId="16" fillId="0" borderId="2" xfId="6" applyFont="1" applyBorder="1" applyAlignment="1" applyProtection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169" fontId="16" fillId="0" borderId="2" xfId="5" applyFont="1" applyBorder="1" applyAlignment="1" applyProtection="1">
      <alignment horizontal="center"/>
    </xf>
    <xf numFmtId="169" fontId="16" fillId="0" borderId="2" xfId="5" applyFont="1" applyBorder="1" applyAlignment="1" applyProtection="1">
      <alignment horizontal="left"/>
    </xf>
    <xf numFmtId="0" fontId="24" fillId="0" borderId="2" xfId="0" applyFont="1" applyBorder="1" applyAlignment="1">
      <alignment horizontal="left"/>
    </xf>
    <xf numFmtId="169" fontId="20" fillId="0" borderId="2" xfId="5" applyFont="1" applyBorder="1" applyAlignment="1" applyProtection="1">
      <alignment horizontal="center"/>
    </xf>
  </cellXfs>
  <cellStyles count="8">
    <cellStyle name="Comma" xfId="7" builtinId="3"/>
    <cellStyle name="Good" xfId="1" builtinId="26"/>
    <cellStyle name="Hyperlink" xfId="4" builtinId="8"/>
    <cellStyle name="Neutral" xfId="2" builtinId="28"/>
    <cellStyle name="Normal" xfId="0" builtinId="0" customBuiltin="1"/>
    <cellStyle name="Normal 2" xfId="5"/>
    <cellStyle name="Normal 3" xfId="6"/>
    <cellStyle name="Normal 3 2 2" xfId="3"/>
  </cellStyles>
  <dxfs count="3"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</dxfs>
  <tableStyles count="0" defaultTableStyle="TableStyleMedium2" defaultPivotStyle="PivotStyleLight16"/>
  <colors>
    <mruColors>
      <color rgb="FF006100"/>
      <color rgb="FFC6EFC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Models!$B$28</c:f>
          <c:strCache>
            <c:ptCount val="1"/>
            <c:pt idx="0">
              <c:v>Malawi 2008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none"/>
          </c:marker>
          <c:xVal>
            <c:numRef>
              <c:f>Method!$L$21:$Z$21</c:f>
              <c:numCache>
                <c:formatCode>0.00_)</c:formatCode>
                <c:ptCount val="15"/>
                <c:pt idx="0">
                  <c:v>2007.9344262295083</c:v>
                </c:pt>
                <c:pt idx="1">
                  <c:v>2006.9344262295083</c:v>
                </c:pt>
                <c:pt idx="2">
                  <c:v>2005.9344262295083</c:v>
                </c:pt>
                <c:pt idx="3">
                  <c:v>2004.9344262295083</c:v>
                </c:pt>
                <c:pt idx="4">
                  <c:v>2003.9344262295083</c:v>
                </c:pt>
                <c:pt idx="5">
                  <c:v>2002.9344262295083</c:v>
                </c:pt>
                <c:pt idx="6">
                  <c:v>2001.9344262295083</c:v>
                </c:pt>
                <c:pt idx="7">
                  <c:v>2000.9344262295083</c:v>
                </c:pt>
                <c:pt idx="8">
                  <c:v>1999.9344262295083</c:v>
                </c:pt>
                <c:pt idx="9">
                  <c:v>1998.9344262295083</c:v>
                </c:pt>
                <c:pt idx="10">
                  <c:v>1997.9344262295083</c:v>
                </c:pt>
                <c:pt idx="11">
                  <c:v>1996.9344262295083</c:v>
                </c:pt>
                <c:pt idx="12">
                  <c:v>1995.9344262295083</c:v>
                </c:pt>
                <c:pt idx="13">
                  <c:v>1994.9344262295083</c:v>
                </c:pt>
                <c:pt idx="14">
                  <c:v>1993.9344262295083</c:v>
                </c:pt>
              </c:numCache>
            </c:numRef>
          </c:xVal>
          <c:yVal>
            <c:numRef>
              <c:f>Method!$L$42:$Z$42</c:f>
              <c:numCache>
                <c:formatCode>0.00_)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034944"/>
        <c:axId val="46037632"/>
      </c:scatterChart>
      <c:valAx>
        <c:axId val="46034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0"/>
        <c:majorTickMark val="out"/>
        <c:minorTickMark val="out"/>
        <c:tickLblPos val="nextTo"/>
        <c:crossAx val="46037632"/>
        <c:crosses val="autoZero"/>
        <c:crossBetween val="midCat"/>
        <c:majorUnit val="5"/>
      </c:valAx>
      <c:valAx>
        <c:axId val="46037632"/>
        <c:scaling>
          <c:orientation val="minMax"/>
        </c:scaling>
        <c:delete val="0"/>
        <c:axPos val="l"/>
        <c:majorGridlines>
          <c:spPr>
            <a:ln>
              <a:solidFill>
                <a:schemeClr val="accent5">
                  <a:lumMod val="40000"/>
                  <a:lumOff val="6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fertility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46034944"/>
        <c:crosses val="autoZero"/>
        <c:crossBetween val="midCat"/>
      </c:valAx>
      <c:spPr>
        <a:solidFill>
          <a:schemeClr val="bg1"/>
        </a:solidFill>
      </c:spPr>
    </c:plotArea>
    <c:plotVisOnly val="1"/>
    <c:dispBlanksAs val="gap"/>
    <c:showDLblsOverMax val="0"/>
  </c:chart>
  <c:spPr>
    <a:solidFill>
      <a:srgbClr val="D7E6E6"/>
    </a:solidFill>
    <a:ln>
      <a:noFill/>
    </a:ln>
  </c:spPr>
  <c:txPr>
    <a:bodyPr/>
    <a:lstStyle/>
    <a:p>
      <a:pPr>
        <a:defRPr sz="1200">
          <a:latin typeface="Verdana" pitchFamily="34" charset="0"/>
          <a:ea typeface="Verdana" pitchFamily="34" charset="0"/>
          <a:cs typeface="Verdana" pitchFamily="34" charset="0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608400</xdr:colOff>
      <xdr:row>32</xdr:row>
      <xdr:rowOff>62400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garbag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Gompertz_C9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Raw Data"/>
      <sheetName val="El-Badry correction"/>
      <sheetName val="El-Badry (2)"/>
      <sheetName val="Adj. CEB 1, BLYR 1 (2)"/>
      <sheetName val="GOMP (2)"/>
      <sheetName val="Summary ASFRs &amp; TFRs (2)"/>
      <sheetName val="Deadkids correction to CEB"/>
      <sheetName val="Manipulations"/>
      <sheetName val="Adj. CEB 1, BLYR 1"/>
      <sheetName val="Summary ASFRs &amp; TFRs"/>
      <sheetName val="GOMP"/>
      <sheetName val="COMP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V4">
            <v>0</v>
          </cell>
        </row>
        <row r="5">
          <cell r="V5">
            <v>2.828820313291569E-3</v>
          </cell>
        </row>
        <row r="6">
          <cell r="V6">
            <v>1.7220218111561159E-2</v>
          </cell>
        </row>
        <row r="7">
          <cell r="V7">
            <v>3.7969882467608018E-2</v>
          </cell>
        </row>
        <row r="8">
          <cell r="V8">
            <v>6.5031650686778519E-2</v>
          </cell>
        </row>
        <row r="9">
          <cell r="V9">
            <v>9.8023575185855361E-2</v>
          </cell>
        </row>
        <row r="10">
          <cell r="V10">
            <v>0.13739063721012457</v>
          </cell>
        </row>
        <row r="11">
          <cell r="V11">
            <v>0.18277562370487033</v>
          </cell>
        </row>
        <row r="26">
          <cell r="AA26">
            <v>36</v>
          </cell>
          <cell r="AB26">
            <v>0.23556002000000001</v>
          </cell>
          <cell r="AC26">
            <v>223</v>
          </cell>
        </row>
        <row r="27">
          <cell r="AA27">
            <v>37</v>
          </cell>
          <cell r="AB27">
            <v>0.35120604999999999</v>
          </cell>
          <cell r="AC27">
            <v>222</v>
          </cell>
        </row>
        <row r="28">
          <cell r="AA28">
            <v>38</v>
          </cell>
          <cell r="AB28">
            <v>0.25579874000000002</v>
          </cell>
          <cell r="AC28">
            <v>226</v>
          </cell>
        </row>
        <row r="29">
          <cell r="AA29">
            <v>39</v>
          </cell>
          <cell r="AB29">
            <v>0.36016730000000002</v>
          </cell>
          <cell r="AC29">
            <v>252</v>
          </cell>
        </row>
        <row r="30">
          <cell r="AA30">
            <v>40</v>
          </cell>
          <cell r="AB30">
            <v>0.39299674000000001</v>
          </cell>
          <cell r="AC30">
            <v>222</v>
          </cell>
        </row>
        <row r="31">
          <cell r="AA31">
            <v>41</v>
          </cell>
          <cell r="AB31">
            <v>0.44260072</v>
          </cell>
          <cell r="AC31">
            <v>172</v>
          </cell>
        </row>
        <row r="32">
          <cell r="AA32">
            <v>42</v>
          </cell>
          <cell r="AB32">
            <v>0.48064695000000002</v>
          </cell>
          <cell r="AC32">
            <v>195</v>
          </cell>
        </row>
        <row r="33">
          <cell r="AA33">
            <v>43</v>
          </cell>
          <cell r="AB33">
            <v>0.54062270999999995</v>
          </cell>
          <cell r="AC33">
            <v>160</v>
          </cell>
        </row>
        <row r="34">
          <cell r="AA34">
            <v>44</v>
          </cell>
          <cell r="AB34">
            <v>0.32306489999999999</v>
          </cell>
          <cell r="AC34">
            <v>162</v>
          </cell>
        </row>
        <row r="35">
          <cell r="AA35">
            <v>45</v>
          </cell>
          <cell r="AB35">
            <v>0.46572206999999999</v>
          </cell>
          <cell r="AC35">
            <v>176</v>
          </cell>
        </row>
        <row r="36">
          <cell r="AA36">
            <v>46</v>
          </cell>
          <cell r="AB36">
            <v>0.63649986000000003</v>
          </cell>
          <cell r="AC36">
            <v>126</v>
          </cell>
        </row>
        <row r="37">
          <cell r="AA37">
            <v>47</v>
          </cell>
          <cell r="AB37">
            <v>0.51730050000000005</v>
          </cell>
          <cell r="AC37">
            <v>151</v>
          </cell>
        </row>
        <row r="38">
          <cell r="AA38">
            <v>48</v>
          </cell>
          <cell r="AB38">
            <v>0.75751767000000003</v>
          </cell>
          <cell r="AC38">
            <v>122</v>
          </cell>
        </row>
        <row r="39">
          <cell r="AA39">
            <v>49</v>
          </cell>
          <cell r="AB39">
            <v>0.54258373999999998</v>
          </cell>
          <cell r="AC39">
            <v>93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OMP"/>
      <sheetName val="COMPARE"/>
      <sheetName val="ADJUST"/>
      <sheetName val="Feeney adj. TFR"/>
    </sheetNames>
    <sheetDataSet>
      <sheetData sheetId="0">
        <row r="3">
          <cell r="V3" t="str">
            <v xml:space="preserve"> </v>
          </cell>
          <cell r="W3">
            <v>-2.4021090835736705</v>
          </cell>
          <cell r="X3" t="e">
            <v>#N/A</v>
          </cell>
          <cell r="Y3">
            <v>-2.4986293679400342</v>
          </cell>
        </row>
        <row r="4">
          <cell r="V4" t="str">
            <v xml:space="preserve">  F20</v>
          </cell>
          <cell r="W4">
            <v>-1.4501268260865627</v>
          </cell>
          <cell r="X4">
            <v>-1.507615229605147</v>
          </cell>
          <cell r="Y4">
            <v>-1.5444845080549436</v>
          </cell>
        </row>
        <row r="5">
          <cell r="V5" t="str">
            <v xml:space="preserve">  F25</v>
          </cell>
          <cell r="W5">
            <v>-0.74298121534953399</v>
          </cell>
          <cell r="X5">
            <v>-0.87023508247751102</v>
          </cell>
          <cell r="Y5">
            <v>-0.83573248629347074</v>
          </cell>
        </row>
        <row r="6">
          <cell r="V6" t="str">
            <v xml:space="preserve">  F30</v>
          </cell>
          <cell r="W6">
            <v>-3.8167221418934326E-2</v>
          </cell>
          <cell r="X6">
            <v>-0.16344409305232799</v>
          </cell>
          <cell r="Y6">
            <v>-0.12931737803388188</v>
          </cell>
        </row>
        <row r="7">
          <cell r="V7" t="str">
            <v xml:space="preserve">  F35</v>
          </cell>
          <cell r="W7">
            <v>0.83562685790156843</v>
          </cell>
          <cell r="X7">
            <v>0.77821183247006775</v>
          </cell>
          <cell r="Y7">
            <v>0.74646168488943454</v>
          </cell>
        </row>
        <row r="8">
          <cell r="V8" t="str">
            <v xml:space="preserve"> </v>
          </cell>
          <cell r="W8">
            <v>2.1649127615274719</v>
          </cell>
          <cell r="X8" t="e">
            <v>#N/A</v>
          </cell>
          <cell r="Y8">
            <v>2.0787673053852451</v>
          </cell>
        </row>
        <row r="9">
          <cell r="V9" t="str">
            <v xml:space="preserve"> </v>
          </cell>
          <cell r="W9">
            <v>4.4556107747849927</v>
          </cell>
          <cell r="X9" t="e">
            <v>#N/A</v>
          </cell>
          <cell r="Y9">
            <v>4.3746690595502917</v>
          </cell>
        </row>
        <row r="12">
          <cell r="V12" t="str">
            <v xml:space="preserve"> </v>
          </cell>
          <cell r="W12">
            <v>-2.6450203494436626</v>
          </cell>
          <cell r="X12" t="e">
            <v>#N/A</v>
          </cell>
          <cell r="Y12">
            <v>-2.4175489202337466</v>
          </cell>
        </row>
        <row r="13">
          <cell r="V13" t="str">
            <v xml:space="preserve">  P20</v>
          </cell>
          <cell r="W13">
            <v>-1.743792567240362</v>
          </cell>
          <cell r="X13">
            <v>-1.6111279326936219</v>
          </cell>
          <cell r="Y13">
            <v>-1.6445684703685801</v>
          </cell>
        </row>
        <row r="14">
          <cell r="V14" t="str">
            <v xml:space="preserve">  P25</v>
          </cell>
          <cell r="W14">
            <v>-1.0156961788944672</v>
          </cell>
          <cell r="X14">
            <v>-1.0220034711598767</v>
          </cell>
          <cell r="Y14">
            <v>-1.0200823139022515</v>
          </cell>
        </row>
        <row r="15">
          <cell r="V15" t="str">
            <v xml:space="preserve">  P30</v>
          </cell>
          <cell r="W15">
            <v>-0.33548833339317602</v>
          </cell>
          <cell r="X15">
            <v>-0.52730233551108063</v>
          </cell>
          <cell r="Y15">
            <v>-0.4366700214716176</v>
          </cell>
        </row>
        <row r="16">
          <cell r="V16" t="str">
            <v xml:space="preserve">  P35</v>
          </cell>
          <cell r="W16">
            <v>0.43909113247098358</v>
          </cell>
          <cell r="X16">
            <v>0.28679746912635884</v>
          </cell>
          <cell r="Y16">
            <v>0.2276845355042289</v>
          </cell>
        </row>
        <row r="17">
          <cell r="V17" t="str">
            <v xml:space="preserve"> </v>
          </cell>
          <cell r="W17">
            <v>1.5116837766574984</v>
          </cell>
          <cell r="X17" t="e">
            <v>#N/A</v>
          </cell>
          <cell r="Y17">
            <v>1.1476441295132076</v>
          </cell>
        </row>
        <row r="18">
          <cell r="V18" t="str">
            <v xml:space="preserve"> </v>
          </cell>
          <cell r="W18">
            <v>3.2103875700248783</v>
          </cell>
          <cell r="X18" t="e">
            <v>#N/A</v>
          </cell>
          <cell r="Y18">
            <v>2.6046174367215493</v>
          </cell>
        </row>
        <row r="19">
          <cell r="V19" t="str">
            <v xml:space="preserve"> </v>
          </cell>
          <cell r="W19">
            <v>6.0547232610015094</v>
          </cell>
          <cell r="Y19">
            <v>5.0441958933505049</v>
          </cell>
        </row>
        <row r="26">
          <cell r="Y26">
            <v>13.5</v>
          </cell>
          <cell r="Z26">
            <v>3.4942844948396688E-2</v>
          </cell>
          <cell r="AB26" t="str">
            <v>P</v>
          </cell>
          <cell r="AC26">
            <v>4.7745730018919647E-3</v>
          </cell>
          <cell r="AE26">
            <v>3.8700760144216373</v>
          </cell>
          <cell r="AF26" t="str">
            <v>shape:</v>
          </cell>
        </row>
        <row r="27">
          <cell r="Y27">
            <v>17.5</v>
          </cell>
          <cell r="Z27">
            <v>0.21084286445625874</v>
          </cell>
          <cell r="AB27" t="str">
            <v>P</v>
          </cell>
          <cell r="AC27">
            <v>0.21314937495649397</v>
          </cell>
        </row>
        <row r="28">
          <cell r="Y28">
            <v>22.5</v>
          </cell>
          <cell r="Z28">
            <v>0.83731857700906287</v>
          </cell>
          <cell r="AB28" t="str">
            <v>P</v>
          </cell>
          <cell r="AC28">
            <v>0.86191053201360268</v>
          </cell>
          <cell r="AE28">
            <v>3.8700760144216373</v>
          </cell>
          <cell r="AF28" t="str">
            <v>separate</v>
          </cell>
        </row>
        <row r="29">
          <cell r="Y29">
            <v>27.5</v>
          </cell>
          <cell r="Z29">
            <v>1.633351413218336</v>
          </cell>
          <cell r="AB29" t="str">
            <v>P</v>
          </cell>
          <cell r="AC29">
            <v>1.6565527948962453</v>
          </cell>
        </row>
        <row r="30">
          <cell r="Y30">
            <v>32.5</v>
          </cell>
          <cell r="Z30">
            <v>2.509503539898799</v>
          </cell>
          <cell r="AB30" t="str">
            <v>P</v>
          </cell>
          <cell r="AC30">
            <v>2.4327447877779402</v>
          </cell>
        </row>
        <row r="31">
          <cell r="Y31">
            <v>37.5</v>
          </cell>
          <cell r="Z31">
            <v>3.1888325557518113</v>
          </cell>
          <cell r="AB31" t="str">
            <v>P</v>
          </cell>
          <cell r="AC31">
            <v>3.1207792602208806</v>
          </cell>
        </row>
        <row r="32">
          <cell r="Y32">
            <v>42.5</v>
          </cell>
          <cell r="Z32">
            <v>3.7306010413349315</v>
          </cell>
          <cell r="AB32" t="str">
            <v>P</v>
          </cell>
          <cell r="AC32">
            <v>3.6391032315912129</v>
          </cell>
        </row>
        <row r="33">
          <cell r="Y33">
            <v>47.5</v>
          </cell>
          <cell r="Z33">
            <v>4.0716709951667305</v>
          </cell>
          <cell r="AB33" t="str">
            <v>P</v>
          </cell>
          <cell r="AC33">
            <v>3.8454467289171261</v>
          </cell>
        </row>
        <row r="35">
          <cell r="Y35">
            <v>14.5</v>
          </cell>
          <cell r="Z35">
            <v>5.8586610577897949E-3</v>
          </cell>
          <cell r="AB35" t="str">
            <v>F</v>
          </cell>
          <cell r="AC35">
            <v>1.6253744519433818E-3</v>
          </cell>
          <cell r="AE35">
            <v>2.8700760144216373</v>
          </cell>
          <cell r="AF35" t="str">
            <v>level:</v>
          </cell>
        </row>
        <row r="36">
          <cell r="Y36">
            <v>19.5</v>
          </cell>
          <cell r="Z36">
            <v>0.1626223251164173</v>
          </cell>
          <cell r="AB36" t="str">
            <v>F</v>
          </cell>
          <cell r="AC36">
            <v>0.15930721495654426</v>
          </cell>
        </row>
        <row r="37">
          <cell r="Y37">
            <v>24.5</v>
          </cell>
          <cell r="Z37">
            <v>0.53281715315856693</v>
          </cell>
          <cell r="AB37" t="str">
            <v>F</v>
          </cell>
          <cell r="AC37">
            <v>0.54574423789689863</v>
          </cell>
          <cell r="AE37">
            <v>2.8700760144216373</v>
          </cell>
          <cell r="AF37" t="str">
            <v>F 15 to 35</v>
          </cell>
        </row>
        <row r="38">
          <cell r="Y38">
            <v>29.5</v>
          </cell>
          <cell r="Z38">
            <v>0.94973188784006068</v>
          </cell>
          <cell r="AB38" t="str">
            <v>F</v>
          </cell>
          <cell r="AC38">
            <v>0.95388967737444674</v>
          </cell>
        </row>
        <row r="39">
          <cell r="Y39">
            <v>34.5</v>
          </cell>
          <cell r="Z39">
            <v>1.3100528095079462</v>
          </cell>
          <cell r="AB39" t="str">
            <v>F</v>
          </cell>
          <cell r="AC39">
            <v>1.3016641393600896</v>
          </cell>
        </row>
        <row r="40">
          <cell r="Y40">
            <v>39.5</v>
          </cell>
          <cell r="Z40">
            <v>1.5599895984919026</v>
          </cell>
          <cell r="AB40" t="str">
            <v>F</v>
          </cell>
          <cell r="AC40">
            <v>1.5587554791311002</v>
          </cell>
        </row>
        <row r="41">
          <cell r="Y41">
            <v>44.5</v>
          </cell>
          <cell r="Z41">
            <v>1.7054253960153094</v>
          </cell>
          <cell r="AB41" t="str">
            <v>F</v>
          </cell>
          <cell r="AC41">
            <v>1.688054517008271</v>
          </cell>
        </row>
        <row r="42">
          <cell r="Y42">
            <v>49.5</v>
          </cell>
          <cell r="Z42">
            <v>1.7816517240609606</v>
          </cell>
          <cell r="AB42" t="str">
            <v>F</v>
          </cell>
          <cell r="AC42">
            <v>1.7084519866900585</v>
          </cell>
        </row>
        <row r="44">
          <cell r="Y44">
            <v>13.504003814440011</v>
          </cell>
          <cell r="AA44" t="str">
            <v xml:space="preserve"> </v>
          </cell>
        </row>
        <row r="45">
          <cell r="Y45">
            <v>14.5</v>
          </cell>
          <cell r="AA45" t="str">
            <v xml:space="preserve"> </v>
          </cell>
        </row>
        <row r="46">
          <cell r="Y46">
            <v>17.94764765779551</v>
          </cell>
          <cell r="AA46" t="str">
            <v xml:space="preserve"> </v>
          </cell>
        </row>
        <row r="47">
          <cell r="Y47">
            <v>19.5</v>
          </cell>
          <cell r="AA47" t="str">
            <v xml:space="preserve"> </v>
          </cell>
        </row>
        <row r="48">
          <cell r="Y48">
            <v>22.410865210263967</v>
          </cell>
          <cell r="AA48" t="str">
            <v xml:space="preserve"> </v>
          </cell>
        </row>
        <row r="49">
          <cell r="Y49">
            <v>24.5</v>
          </cell>
          <cell r="AA49" t="str">
            <v xml:space="preserve"> </v>
          </cell>
          <cell r="AE49">
            <v>2.3700760144216373</v>
          </cell>
          <cell r="AF49" t="str">
            <v>P 15 to 35</v>
          </cell>
        </row>
        <row r="50">
          <cell r="Y50">
            <v>27.445027935971265</v>
          </cell>
          <cell r="AA50" t="str">
            <v xml:space="preserve"> </v>
          </cell>
        </row>
        <row r="51">
          <cell r="Y51">
            <v>29.5</v>
          </cell>
          <cell r="AA51" t="str">
            <v xml:space="preserve"> </v>
          </cell>
        </row>
        <row r="52">
          <cell r="Y52">
            <v>32.517785477812403</v>
          </cell>
          <cell r="AA52" t="str">
            <v xml:space="preserve"> </v>
          </cell>
        </row>
        <row r="53">
          <cell r="Y53">
            <v>34.5</v>
          </cell>
          <cell r="AA53" t="str">
            <v xml:space="preserve"> </v>
          </cell>
        </row>
        <row r="54">
          <cell r="Y54">
            <v>37.544235773557418</v>
          </cell>
          <cell r="AA54" t="str">
            <v xml:space="preserve"> </v>
          </cell>
        </row>
        <row r="55">
          <cell r="Y55">
            <v>39.5</v>
          </cell>
          <cell r="AA55" t="str">
            <v xml:space="preserve"> </v>
          </cell>
        </row>
        <row r="56">
          <cell r="Y56">
            <v>42.536611047768147</v>
          </cell>
          <cell r="AA56" t="str">
            <v xml:space="preserve"> </v>
          </cell>
        </row>
        <row r="57">
          <cell r="Y57">
            <v>44.5</v>
          </cell>
          <cell r="AA57" t="str">
            <v xml:space="preserve"> </v>
          </cell>
        </row>
        <row r="58">
          <cell r="Y58">
            <v>47.242548778134008</v>
          </cell>
          <cell r="AA58" t="str">
            <v xml:space="preserve"> </v>
          </cell>
        </row>
        <row r="59">
          <cell r="Y59">
            <v>49.5</v>
          </cell>
          <cell r="AA59" t="str">
            <v xml:space="preserve"> </v>
          </cell>
        </row>
        <row r="60">
          <cell r="Y60">
            <v>51.500000000000007</v>
          </cell>
          <cell r="AA60" t="str">
            <v xml:space="preserve"> </v>
          </cell>
        </row>
      </sheetData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emographicestimation.iussp.org/user/?destination=content/reverse-survival-method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55"/>
  <sheetViews>
    <sheetView showGridLines="0" showRowColHeaders="0" topLeftCell="A27" zoomScaleNormal="100" workbookViewId="0">
      <selection activeCell="E32" sqref="E32"/>
    </sheetView>
  </sheetViews>
  <sheetFormatPr defaultRowHeight="15" x14ac:dyDescent="0.2"/>
  <cols>
    <col min="1" max="1" width="3.21875" style="66" customWidth="1"/>
    <col min="2" max="2" width="58.44140625" style="63" customWidth="1"/>
    <col min="3" max="3" width="19.109375" style="66" customWidth="1"/>
    <col min="4" max="4" width="8.44140625" style="66" customWidth="1"/>
    <col min="5" max="5" width="9.77734375" style="67" customWidth="1"/>
    <col min="6" max="6" width="9.77734375" style="66" customWidth="1"/>
    <col min="7" max="7" width="8.88671875" style="68"/>
    <col min="8" max="8" width="11.44140625" style="68" customWidth="1"/>
    <col min="9" max="9" width="11.33203125" style="68" customWidth="1"/>
    <col min="10" max="16384" width="8.88671875" style="68"/>
  </cols>
  <sheetData>
    <row r="1" spans="1:6" s="65" customFormat="1" ht="29.25" customHeight="1" x14ac:dyDescent="0.25">
      <c r="A1" s="142" t="s">
        <v>12</v>
      </c>
      <c r="B1" s="143"/>
      <c r="C1" s="63"/>
      <c r="D1" s="63"/>
      <c r="E1" s="64"/>
      <c r="F1" s="63"/>
    </row>
    <row r="3" spans="1:6" x14ac:dyDescent="0.2">
      <c r="A3" s="144" t="s">
        <v>10</v>
      </c>
      <c r="B3" s="144"/>
    </row>
    <row r="4" spans="1:6" x14ac:dyDescent="0.2">
      <c r="A4" s="158" t="s">
        <v>48</v>
      </c>
      <c r="B4" s="159"/>
      <c r="C4" s="159"/>
    </row>
    <row r="6" spans="1:6" ht="63" customHeight="1" x14ac:dyDescent="0.2">
      <c r="A6" s="145" t="s">
        <v>75</v>
      </c>
      <c r="B6" s="145"/>
      <c r="F6" s="69"/>
    </row>
    <row r="8" spans="1:6" ht="15" customHeight="1" thickBot="1" x14ac:dyDescent="0.3">
      <c r="A8" s="70" t="s">
        <v>43</v>
      </c>
    </row>
    <row r="9" spans="1:6" ht="15.75" x14ac:dyDescent="0.25">
      <c r="A9" s="135">
        <v>1</v>
      </c>
      <c r="B9" s="72" t="s">
        <v>76</v>
      </c>
      <c r="C9" s="73" t="s">
        <v>11</v>
      </c>
      <c r="D9" s="146" t="s">
        <v>85</v>
      </c>
      <c r="E9" s="146"/>
      <c r="F9" s="147"/>
    </row>
    <row r="10" spans="1:6" ht="15" customHeight="1" x14ac:dyDescent="0.2">
      <c r="A10" s="71"/>
      <c r="C10" s="74"/>
      <c r="D10" s="150"/>
      <c r="E10" s="150"/>
      <c r="F10" s="151"/>
    </row>
    <row r="11" spans="1:6" ht="15" customHeight="1" thickBot="1" x14ac:dyDescent="0.25">
      <c r="A11" s="63">
        <v>2</v>
      </c>
      <c r="B11" s="63" t="s">
        <v>84</v>
      </c>
      <c r="C11" s="75" t="s">
        <v>9</v>
      </c>
      <c r="D11" s="148">
        <v>39607</v>
      </c>
      <c r="E11" s="148"/>
      <c r="F11" s="149"/>
    </row>
    <row r="12" spans="1:6" x14ac:dyDescent="0.2">
      <c r="A12" s="71"/>
      <c r="E12" s="66"/>
    </row>
    <row r="13" spans="1:6" x14ac:dyDescent="0.2">
      <c r="A13" s="71"/>
      <c r="E13" s="66"/>
    </row>
    <row r="14" spans="1:6" s="76" customFormat="1" ht="17.25" thickBot="1" x14ac:dyDescent="0.35">
      <c r="B14" s="13"/>
      <c r="C14" s="77" t="s">
        <v>30</v>
      </c>
      <c r="D14" s="13"/>
      <c r="E14" s="13"/>
      <c r="F14" s="13"/>
    </row>
    <row r="15" spans="1:6" ht="15.75" x14ac:dyDescent="0.25">
      <c r="A15" s="66">
        <v>3</v>
      </c>
      <c r="B15" s="63" t="s">
        <v>79</v>
      </c>
      <c r="C15" s="78"/>
      <c r="D15" s="152" t="s">
        <v>50</v>
      </c>
      <c r="E15" s="152"/>
      <c r="F15" s="153"/>
    </row>
    <row r="16" spans="1:6" x14ac:dyDescent="0.2">
      <c r="A16" s="9"/>
      <c r="C16" s="74"/>
      <c r="D16" s="140" t="s">
        <v>27</v>
      </c>
      <c r="E16" s="140"/>
      <c r="F16" s="141"/>
    </row>
    <row r="17" spans="1:6" x14ac:dyDescent="0.2">
      <c r="C17" s="32"/>
      <c r="D17" s="33"/>
      <c r="E17" s="33"/>
      <c r="F17" s="34"/>
    </row>
    <row r="18" spans="1:6" s="66" customFormat="1" ht="15.75" x14ac:dyDescent="0.25">
      <c r="C18" s="79"/>
      <c r="D18" s="154" t="s">
        <v>29</v>
      </c>
      <c r="E18" s="154"/>
      <c r="F18" s="155"/>
    </row>
    <row r="19" spans="1:6" s="66" customFormat="1" ht="15.75" x14ac:dyDescent="0.25">
      <c r="C19" s="74"/>
      <c r="D19" s="80" t="s">
        <v>18</v>
      </c>
      <c r="E19" s="80" t="s">
        <v>19</v>
      </c>
      <c r="F19" s="81" t="s">
        <v>20</v>
      </c>
    </row>
    <row r="20" spans="1:6" s="66" customFormat="1" x14ac:dyDescent="0.2">
      <c r="C20" s="74" t="s">
        <v>44</v>
      </c>
      <c r="D20" s="129">
        <v>0</v>
      </c>
      <c r="E20" s="130">
        <v>0.2165</v>
      </c>
      <c r="F20" s="131">
        <v>0.3533</v>
      </c>
    </row>
    <row r="21" spans="1:6" s="66" customFormat="1" x14ac:dyDescent="0.2">
      <c r="C21" s="74" t="s">
        <v>51</v>
      </c>
      <c r="D21" s="132">
        <v>1</v>
      </c>
      <c r="E21" s="133">
        <v>1.0979000000000001</v>
      </c>
      <c r="F21" s="134">
        <v>1.1722999999999999</v>
      </c>
    </row>
    <row r="22" spans="1:6" s="66" customFormat="1" ht="15.75" x14ac:dyDescent="0.25">
      <c r="C22" s="82"/>
      <c r="D22" s="35"/>
      <c r="E22" s="35"/>
      <c r="F22" s="36"/>
    </row>
    <row r="23" spans="1:6" s="66" customFormat="1" ht="15.75" x14ac:dyDescent="0.25">
      <c r="A23" s="71"/>
      <c r="B23" s="63"/>
      <c r="C23" s="82"/>
      <c r="D23" s="35"/>
      <c r="E23" s="35"/>
      <c r="F23" s="36"/>
    </row>
    <row r="24" spans="1:6" s="66" customFormat="1" x14ac:dyDescent="0.2">
      <c r="A24" s="71"/>
      <c r="B24" s="85"/>
      <c r="C24" s="74" t="s">
        <v>49</v>
      </c>
      <c r="D24" s="129">
        <v>0</v>
      </c>
      <c r="E24" s="130">
        <v>8.1500000000000003E-2</v>
      </c>
      <c r="F24" s="131">
        <v>-3.0999999999999999E-3</v>
      </c>
    </row>
    <row r="25" spans="1:6" s="66" customFormat="1" x14ac:dyDescent="0.2">
      <c r="A25" s="71"/>
      <c r="B25" s="86"/>
      <c r="C25" s="74" t="s">
        <v>52</v>
      </c>
      <c r="D25" s="132">
        <v>1</v>
      </c>
      <c r="E25" s="133">
        <v>0.96899999999999997</v>
      </c>
      <c r="F25" s="134">
        <v>0.86729999999999996</v>
      </c>
    </row>
    <row r="26" spans="1:6" s="66" customFormat="1" ht="15.75" thickBot="1" x14ac:dyDescent="0.25">
      <c r="B26" s="85"/>
      <c r="C26" s="37"/>
      <c r="D26" s="38"/>
      <c r="E26" s="38"/>
      <c r="F26" s="39"/>
    </row>
    <row r="27" spans="1:6" s="66" customFormat="1" x14ac:dyDescent="0.2">
      <c r="B27" s="63"/>
      <c r="C27" s="9"/>
      <c r="D27" s="9"/>
      <c r="E27" s="9"/>
      <c r="F27" s="9"/>
    </row>
    <row r="28" spans="1:6" s="66" customFormat="1" ht="16.5" thickBot="1" x14ac:dyDescent="0.3">
      <c r="B28" s="63"/>
      <c r="C28" s="77" t="s">
        <v>31</v>
      </c>
      <c r="D28" s="77"/>
      <c r="E28" s="9"/>
      <c r="F28" s="9"/>
    </row>
    <row r="29" spans="1:6" s="66" customFormat="1" x14ac:dyDescent="0.2">
      <c r="A29" s="66">
        <v>4</v>
      </c>
      <c r="B29" s="160" t="s">
        <v>82</v>
      </c>
      <c r="C29" s="40" t="s">
        <v>41</v>
      </c>
      <c r="D29" s="156" t="s">
        <v>46</v>
      </c>
      <c r="E29" s="156"/>
      <c r="F29" s="157"/>
    </row>
    <row r="30" spans="1:6" x14ac:dyDescent="0.2">
      <c r="B30" s="160"/>
      <c r="C30" s="41" t="s">
        <v>42</v>
      </c>
      <c r="D30" s="140" t="s">
        <v>45</v>
      </c>
      <c r="E30" s="140"/>
      <c r="F30" s="141"/>
    </row>
    <row r="31" spans="1:6" x14ac:dyDescent="0.2">
      <c r="B31" s="160"/>
      <c r="C31" s="32"/>
      <c r="D31" s="33"/>
      <c r="E31" s="33"/>
      <c r="F31" s="34"/>
    </row>
    <row r="32" spans="1:6" x14ac:dyDescent="0.2">
      <c r="B32" s="161"/>
      <c r="C32" s="32"/>
      <c r="D32" s="35" t="s">
        <v>83</v>
      </c>
      <c r="E32" s="137"/>
      <c r="F32" s="138">
        <v>35612</v>
      </c>
    </row>
    <row r="33" spans="1:6" x14ac:dyDescent="0.2">
      <c r="B33" s="161"/>
      <c r="C33" s="41"/>
      <c r="D33" s="35" t="str">
        <f>IF(Models!$D$39=1,"10-14","Alpha")</f>
        <v>10-14</v>
      </c>
      <c r="E33" s="59"/>
      <c r="F33" s="61">
        <v>0</v>
      </c>
    </row>
    <row r="34" spans="1:6" x14ac:dyDescent="0.2">
      <c r="B34" s="161"/>
      <c r="C34" s="41"/>
      <c r="D34" s="35" t="str">
        <f>IF(Models!$D$39=1,"15-19","Beta")</f>
        <v>15-19</v>
      </c>
      <c r="E34" s="59"/>
      <c r="F34" s="61">
        <v>4.1770000000000002E-2</v>
      </c>
    </row>
    <row r="35" spans="1:6" x14ac:dyDescent="0.2">
      <c r="B35" s="161"/>
      <c r="C35" s="83"/>
      <c r="D35" s="35" t="str">
        <f>IF(Models!$D$39=1,"20-24","")</f>
        <v>20-24</v>
      </c>
      <c r="E35" s="59"/>
      <c r="F35" s="61">
        <v>0.15353899999999998</v>
      </c>
    </row>
    <row r="36" spans="1:6" x14ac:dyDescent="0.2">
      <c r="C36" s="83"/>
      <c r="D36" s="35" t="str">
        <f>IF(Models!$D$39=1,"25-29","")</f>
        <v>25-29</v>
      </c>
      <c r="E36" s="59"/>
      <c r="F36" s="61">
        <v>0.14823500000000001</v>
      </c>
    </row>
    <row r="37" spans="1:6" x14ac:dyDescent="0.2">
      <c r="C37" s="83"/>
      <c r="D37" s="35" t="str">
        <f>IF(Models!$D$39=1,"30-34","")</f>
        <v>30-34</v>
      </c>
      <c r="E37" s="59"/>
      <c r="F37" s="61">
        <v>0.111842</v>
      </c>
    </row>
    <row r="38" spans="1:6" x14ac:dyDescent="0.2">
      <c r="C38" s="83"/>
      <c r="D38" s="35" t="str">
        <f>IF(Models!$D$39=1,"35-39","")</f>
        <v>35-39</v>
      </c>
      <c r="E38" s="59"/>
      <c r="F38" s="61">
        <v>7.0805000000000007E-2</v>
      </c>
    </row>
    <row r="39" spans="1:6" x14ac:dyDescent="0.2">
      <c r="C39" s="83"/>
      <c r="D39" s="35" t="str">
        <f>IF(Models!$D$39=1,"40-44","")</f>
        <v>40-44</v>
      </c>
      <c r="E39" s="59"/>
      <c r="F39" s="61">
        <v>3.0114999999999999E-2</v>
      </c>
    </row>
    <row r="40" spans="1:6" ht="15.75" thickBot="1" x14ac:dyDescent="0.25">
      <c r="C40" s="84"/>
      <c r="D40" s="42" t="str">
        <f>IF(Models!$D$39=1,"45-49","")</f>
        <v>45-49</v>
      </c>
      <c r="E40" s="60"/>
      <c r="F40" s="62">
        <v>3.2339999999999999E-3</v>
      </c>
    </row>
    <row r="41" spans="1:6" ht="15.75" customHeight="1" x14ac:dyDescent="0.2"/>
    <row r="42" spans="1:6" ht="30.75" customHeight="1" x14ac:dyDescent="0.2">
      <c r="A42" s="71">
        <v>5</v>
      </c>
      <c r="B42" s="63" t="s">
        <v>81</v>
      </c>
    </row>
    <row r="43" spans="1:6" x14ac:dyDescent="0.2">
      <c r="A43" s="71"/>
      <c r="B43" s="85"/>
    </row>
    <row r="44" spans="1:6" ht="30.75" x14ac:dyDescent="0.25">
      <c r="A44" s="71">
        <v>6</v>
      </c>
      <c r="B44" s="63" t="s">
        <v>80</v>
      </c>
    </row>
    <row r="45" spans="1:6" x14ac:dyDescent="0.2">
      <c r="A45" s="71"/>
      <c r="B45" s="85"/>
    </row>
    <row r="46" spans="1:6" ht="15.75" x14ac:dyDescent="0.25">
      <c r="A46" s="70" t="s">
        <v>13</v>
      </c>
    </row>
    <row r="47" spans="1:6" ht="15.75" x14ac:dyDescent="0.2">
      <c r="B47" s="72" t="s">
        <v>73</v>
      </c>
    </row>
    <row r="50" spans="3:6" x14ac:dyDescent="0.2">
      <c r="C50" s="68"/>
      <c r="D50" s="68"/>
      <c r="E50" s="68"/>
      <c r="F50" s="68"/>
    </row>
    <row r="51" spans="3:6" x14ac:dyDescent="0.2">
      <c r="C51" s="68"/>
      <c r="D51" s="68"/>
      <c r="E51" s="68"/>
      <c r="F51" s="68"/>
    </row>
    <row r="52" spans="3:6" x14ac:dyDescent="0.2">
      <c r="C52" s="68"/>
      <c r="D52" s="68"/>
      <c r="E52" s="68"/>
      <c r="F52" s="68"/>
    </row>
    <row r="53" spans="3:6" x14ac:dyDescent="0.2">
      <c r="C53" s="68"/>
      <c r="D53" s="68"/>
      <c r="E53" s="68"/>
      <c r="F53" s="68"/>
    </row>
    <row r="54" spans="3:6" x14ac:dyDescent="0.2">
      <c r="C54" s="68"/>
      <c r="D54" s="68"/>
      <c r="E54" s="68"/>
      <c r="F54" s="68"/>
    </row>
    <row r="55" spans="3:6" x14ac:dyDescent="0.2">
      <c r="C55" s="68"/>
      <c r="D55" s="68"/>
      <c r="E55" s="68"/>
      <c r="F55" s="68"/>
    </row>
  </sheetData>
  <sheetProtection sheet="1" objects="1" scenarios="1" selectLockedCells="1"/>
  <mergeCells count="13">
    <mergeCell ref="D30:F30"/>
    <mergeCell ref="A1:B1"/>
    <mergeCell ref="A3:B3"/>
    <mergeCell ref="A6:B6"/>
    <mergeCell ref="D9:F9"/>
    <mergeCell ref="D11:F11"/>
    <mergeCell ref="D10:F10"/>
    <mergeCell ref="D15:F15"/>
    <mergeCell ref="D18:F18"/>
    <mergeCell ref="D16:F16"/>
    <mergeCell ref="D29:F29"/>
    <mergeCell ref="A4:C4"/>
    <mergeCell ref="B29:B35"/>
  </mergeCells>
  <conditionalFormatting sqref="E35:F40">
    <cfRule type="expression" dxfId="2" priority="4">
      <formula>Type_Source=2</formula>
    </cfRule>
  </conditionalFormatting>
  <conditionalFormatting sqref="F32:F40">
    <cfRule type="expression" dxfId="1" priority="2">
      <formula>N_Series=1</formula>
    </cfRule>
  </conditionalFormatting>
  <dataValidations xWindow="1019" yWindow="495" count="14">
    <dataValidation type="date" allowBlank="1" showInputMessage="1" showErrorMessage="1" error="Enter date of earlier series of rates _x000a_in format DD/MM/YYYY  here" sqref="F32">
      <formula1>1</formula1>
      <formula2>E32</formula2>
    </dataValidation>
    <dataValidation type="decimal" allowBlank="1" showInputMessage="1" showErrorMessage="1" error="Enter appropriate numeric value" sqref="F33">
      <formula1>-0.3</formula1>
      <formula2>1</formula2>
    </dataValidation>
    <dataValidation type="date" showInputMessage="1" showErrorMessage="1" error="Enter date of later or only series of fertility rates in format DD/MM/YYYY here_x000a_" sqref="E32">
      <formula1>1</formula1>
      <formula2>54788</formula2>
    </dataValidation>
    <dataValidation type="decimal" allowBlank="1" showInputMessage="1" showErrorMessage="1" error="Enter fertility rates per woman in the range 0 to1 " sqref="E35:F40">
      <formula1>0</formula1>
      <formula2>1</formula2>
    </dataValidation>
    <dataValidation type="decimal" allowBlank="1" showInputMessage="1" showErrorMessage="1" error="Enter appropriate numeric value" sqref="F34">
      <formula1>0</formula1>
      <formula2>1.25</formula2>
    </dataValidation>
    <dataValidation type="decimal" showInputMessage="1" showErrorMessage="1" error="Enter appropriate numeric value" sqref="E33">
      <formula1>-0.3</formula1>
      <formula2>1</formula2>
    </dataValidation>
    <dataValidation type="decimal" showInputMessage="1" showErrorMessage="1" error="Enter appropriate numeric value" sqref="E34">
      <formula1>0</formula1>
      <formula2>1.25</formula2>
    </dataValidation>
    <dataValidation type="decimal" allowBlank="1" showInputMessage="1" showErrorMessage="1" sqref="D21:F21 D25:F25">
      <formula1>0.6</formula1>
      <formula2>1.5</formula2>
    </dataValidation>
    <dataValidation type="decimal" allowBlank="1" showInputMessage="1" showErrorMessage="1" sqref="D20:F20 D24:F24">
      <formula1>-1.5</formula1>
      <formula2>1</formula2>
    </dataValidation>
    <dataValidation type="date" operator="greaterThanOrEqual" allowBlank="1" showInputMessage="1" showErrorMessage="1" error="Please enter a valid date in the format DD/MM/YYYY" promptTitle="Date Input" prompt="Please input the date using the default date format on your computer." sqref="D11:F11">
      <formula1>1</formula1>
    </dataValidation>
    <dataValidation type="list" showInputMessage="1" showErrorMessage="1" promptTitle="Choice of standard life table" prompt="Choose the standard pattern of mortality to be used. If &quot;Other&quot; is selected, values for the logits must be pasted in cells G4:G26 of the 'Models' sheet." sqref="D16:F16">
      <formula1>Model_LTs</formula1>
    </dataValidation>
    <dataValidation type="list" showInputMessage="1" showErrorMessage="1" promptTitle="Number of series" prompt="Choose whether the fertility schedule is to be based on a single fertility schedule (assuming constant shape), or interpolated between two schedules at different points in time." sqref="D29:F29">
      <formula1>Series</formula1>
    </dataValidation>
    <dataValidation type="list" showInputMessage="1" showErrorMessage="1" promptTitle="Source of data" prompt="You may define the fertility schedule(s) to be used either by setting values of alpha and beta that define a relational Gompertz model, or by pasting in age-specific fertility rates applicable to the date(s) to which the rates apply." sqref="D30:F30">
      <formula1>Source</formula1>
    </dataValidation>
    <dataValidation type="list" showDropDown="1" showInputMessage="1" showErrorMessage="1" sqref="A4:C4">
      <formula1>"http://demographicestimation.iussp.org/user/?destination=content/reverse-survival-methods"</formula1>
    </dataValidation>
  </dataValidations>
  <hyperlinks>
    <hyperlink ref="A4" r:id="rId1"/>
  </hyperlinks>
  <pageMargins left="0.7" right="0.7" top="0.75" bottom="0.75" header="0.3" footer="0.3"/>
  <pageSetup paperSize="9" orientation="portrait" r:id="rId2"/>
  <ignoredErrors>
    <ignoredError sqref="F19 D33" twoDigitTextYear="1"/>
  </ignoredErrors>
  <extLst>
    <ext xmlns:x14="http://schemas.microsoft.com/office/spreadsheetml/2009/9/main" uri="{CCE6A557-97BC-4b89-ADB6-D9C93CAAB3DF}">
      <x14:dataValidations xmlns:xm="http://schemas.microsoft.com/office/excel/2006/main" xWindow="1019" yWindow="495" count="6">
        <x14:dataValidation type="list" showInputMessage="1" showErrorMessage="1" promptTitle="Mortality table" prompt="Chose the standard pattern of mortality to be used. If &quot;Other&quot; is selected, values must be pasted in cells AR4:AR24 of the Method sheet">
          <x14:formula1>
            <xm:f>Models!$C$32:$C$37</xm:f>
          </x14:formula1>
          <xm:sqref>D16:F16</xm:sqref>
        </x14:dataValidation>
        <x14:dataValidation type="list" allowBlank="1" showInputMessage="1" showErrorMessage="1" promptTitle="Number of series" prompt="Choose whether the fertility schedule is to be based on a single fertility schedule (assuming constant shape), or interpolated between two schedules at different points in time.">
          <x14:formula1>
            <xm:f>Models!$C$44:$C$45</xm:f>
          </x14:formula1>
          <xm:sqref>D29:F29</xm:sqref>
        </x14:dataValidation>
        <x14:dataValidation type="list" allowBlank="1" showInputMessage="1" showErrorMessage="1" prompt="You may define the fertility schedule(s) to be used either by setting the values of alpha and beta resulting from application of a relational Gompertz model, or by pasting in age-specific fertility rates applicable to the date(s) to which the rates apply.">
          <x14:formula1>
            <xm:f>Method!#REF!</xm:f>
          </x14:formula1>
          <xm:sqref>D30:F30</xm:sqref>
        </x14:dataValidation>
        <x14:dataValidation type="list" allowBlank="1" showInputMessage="1" showErrorMessage="1">
          <x14:formula1>
            <xm:f>Models!C40:C41</xm:f>
          </x14:formula1>
          <xm:sqref>D30:F30</xm:sqref>
        </x14:dataValidation>
        <x14:dataValidation type="list" allowBlank="1" showInputMessage="1" showErrorMessage="1">
          <x14:formula1>
            <xm:f>Models!C44:C45</xm:f>
          </x14:formula1>
          <xm:sqref>D29:F29</xm:sqref>
        </x14:dataValidation>
        <x14:dataValidation type="list" allowBlank="1" showInputMessage="1" showErrorMessage="1">
          <x14:formula1>
            <xm:f>Models!B2:G2</xm:f>
          </x14:formula1>
          <xm:sqref>D16:F16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87"/>
  <sheetViews>
    <sheetView topLeftCell="A9" workbookViewId="0">
      <selection sqref="A1:G1"/>
    </sheetView>
  </sheetViews>
  <sheetFormatPr defaultRowHeight="15" x14ac:dyDescent="0.2"/>
  <cols>
    <col min="1" max="1" width="5.77734375" customWidth="1"/>
    <col min="2" max="7" width="10.77734375" customWidth="1"/>
    <col min="8" max="8" width="3.77734375" style="123" customWidth="1"/>
    <col min="9" max="10" width="10.77734375" customWidth="1"/>
    <col min="11" max="11" width="3.77734375" customWidth="1"/>
    <col min="12" max="12" width="5.77734375" customWidth="1"/>
    <col min="13" max="13" width="10.88671875" customWidth="1"/>
    <col min="14" max="14" width="11.21875" customWidth="1"/>
  </cols>
  <sheetData>
    <row r="1" spans="1:15" ht="18" x14ac:dyDescent="0.35">
      <c r="A1" s="164" t="s">
        <v>38</v>
      </c>
      <c r="B1" s="164"/>
      <c r="C1" s="164"/>
      <c r="D1" s="164"/>
      <c r="E1" s="164"/>
      <c r="F1" s="164"/>
      <c r="G1" s="166"/>
      <c r="H1" s="120"/>
      <c r="I1" s="162" t="s">
        <v>78</v>
      </c>
      <c r="J1" s="162"/>
      <c r="L1" s="21" t="s">
        <v>59</v>
      </c>
      <c r="M1" s="4"/>
    </row>
    <row r="2" spans="1:15" ht="18" x14ac:dyDescent="0.35">
      <c r="A2" s="10" t="s">
        <v>15</v>
      </c>
      <c r="B2" s="10" t="s">
        <v>25</v>
      </c>
      <c r="C2" s="10" t="s">
        <v>27</v>
      </c>
      <c r="D2" s="10" t="s">
        <v>28</v>
      </c>
      <c r="E2" s="10" t="s">
        <v>26</v>
      </c>
      <c r="F2" s="10" t="s">
        <v>24</v>
      </c>
      <c r="G2" s="16" t="s">
        <v>40</v>
      </c>
      <c r="H2" s="117"/>
      <c r="I2" s="10" t="str">
        <f>Introduction!D16</f>
        <v>Princeton North</v>
      </c>
      <c r="J2" s="10" t="s">
        <v>39</v>
      </c>
      <c r="L2" s="97" t="s">
        <v>15</v>
      </c>
      <c r="M2" s="97" t="s">
        <v>61</v>
      </c>
    </row>
    <row r="3" spans="1:15" ht="16.5" x14ac:dyDescent="0.3">
      <c r="A3" s="116"/>
      <c r="B3" s="116"/>
      <c r="C3" s="116"/>
      <c r="D3" s="116"/>
      <c r="E3" s="116"/>
      <c r="F3" s="116"/>
      <c r="G3" s="117"/>
      <c r="H3" s="117"/>
      <c r="I3" s="116"/>
      <c r="J3" s="116"/>
      <c r="L3" s="98">
        <v>15</v>
      </c>
      <c r="M3" s="126">
        <v>-1.7521</v>
      </c>
    </row>
    <row r="4" spans="1:15" x14ac:dyDescent="0.2">
      <c r="A4" s="93">
        <v>1</v>
      </c>
      <c r="B4" s="126">
        <v>-1.2756596114442857</v>
      </c>
      <c r="C4" s="126">
        <v>-1.3300166619272631</v>
      </c>
      <c r="D4" s="126">
        <v>-1.1393153104759235</v>
      </c>
      <c r="E4" s="126">
        <v>-1.1794669380666578</v>
      </c>
      <c r="F4" s="126">
        <v>-1.2920084625948782</v>
      </c>
      <c r="G4" s="112">
        <v>-1.30851821804017</v>
      </c>
      <c r="H4" s="118"/>
      <c r="I4" s="94">
        <f>VLOOKUP(A4,$A$4:$G$10,Models!$D$31+1,FALSE)</f>
        <v>-1.3300166619272631</v>
      </c>
      <c r="J4" s="94">
        <f t="shared" ref="J4:J26" si="0">1/(1+EXP(2*I4))</f>
        <v>0.9346267026790761</v>
      </c>
      <c r="L4" s="98">
        <v>20</v>
      </c>
      <c r="M4" s="126">
        <v>-0.69130000000000003</v>
      </c>
    </row>
    <row r="5" spans="1:15" x14ac:dyDescent="0.2">
      <c r="A5" s="93">
        <v>2</v>
      </c>
      <c r="B5" s="126">
        <v>-1.1792678283331384</v>
      </c>
      <c r="C5" s="126">
        <v>-1.2273209044445137</v>
      </c>
      <c r="D5" s="126">
        <v>-1.0270730854502448</v>
      </c>
      <c r="E5" s="126">
        <v>-1.1054931620988286</v>
      </c>
      <c r="F5" s="126">
        <v>-1.199382018993584</v>
      </c>
      <c r="G5" s="112">
        <v>-1.274457325041761</v>
      </c>
      <c r="H5" s="118"/>
      <c r="I5" s="94">
        <f>VLOOKUP(A5,$A$4:$G$10,Models!$D$31+1,FALSE)</f>
        <v>-1.2273209044445137</v>
      </c>
      <c r="J5" s="94">
        <f t="shared" si="0"/>
        <v>0.92090023535131493</v>
      </c>
      <c r="L5" s="98">
        <v>25</v>
      </c>
      <c r="M5" s="126">
        <v>2.564E-2</v>
      </c>
    </row>
    <row r="6" spans="1:15" x14ac:dyDescent="0.2">
      <c r="A6" s="93">
        <v>3</v>
      </c>
      <c r="B6" s="126">
        <v>-1.1339041157033591</v>
      </c>
      <c r="C6" s="126">
        <v>-1.1663695111648762</v>
      </c>
      <c r="D6" s="126">
        <v>-0.98051169273159389</v>
      </c>
      <c r="E6" s="126">
        <v>-1.0757976651113399</v>
      </c>
      <c r="F6" s="126">
        <v>-1.1592413135184099</v>
      </c>
      <c r="G6" s="112">
        <v>-1.2403964320433536</v>
      </c>
      <c r="H6" s="118"/>
      <c r="I6" s="94">
        <f>VLOOKUP(A6,$A$4:$G$10,Models!$D$31+1,FALSE)</f>
        <v>-1.1663695111648762</v>
      </c>
      <c r="J6" s="94">
        <f t="shared" si="0"/>
        <v>0.91155241842025281</v>
      </c>
      <c r="L6" s="98">
        <v>30</v>
      </c>
      <c r="M6" s="126">
        <v>0.7</v>
      </c>
    </row>
    <row r="7" spans="1:15" x14ac:dyDescent="0.2">
      <c r="A7" s="93">
        <v>4</v>
      </c>
      <c r="B7" s="126">
        <v>-1.1061781300895608</v>
      </c>
      <c r="C7" s="126">
        <v>-1.1225793890829769</v>
      </c>
      <c r="D7" s="126">
        <v>-0.95668616163910714</v>
      </c>
      <c r="E7" s="126">
        <v>-1.0568390913683008</v>
      </c>
      <c r="F7" s="126">
        <v>-1.133848489507731</v>
      </c>
      <c r="G7" s="112">
        <v>-1.1978203157953442</v>
      </c>
      <c r="H7" s="118"/>
      <c r="I7" s="94">
        <f>VLOOKUP(A7,$A$4:$G$10,Models!$D$31+1,FALSE)</f>
        <v>-1.1225793890829769</v>
      </c>
      <c r="J7" s="94">
        <f t="shared" si="0"/>
        <v>0.90423212240237061</v>
      </c>
      <c r="L7" s="98">
        <v>35</v>
      </c>
      <c r="M7" s="126">
        <v>1.47872</v>
      </c>
    </row>
    <row r="8" spans="1:15" x14ac:dyDescent="0.2">
      <c r="A8" s="93">
        <v>5</v>
      </c>
      <c r="B8" s="126">
        <v>-1.0870408602371626</v>
      </c>
      <c r="C8" s="126">
        <v>-1.0899897929411233</v>
      </c>
      <c r="D8" s="126">
        <v>-0.94337274491278955</v>
      </c>
      <c r="E8" s="126">
        <v>-1.0434107208936003</v>
      </c>
      <c r="F8" s="126">
        <v>-1.1143192900977046</v>
      </c>
      <c r="G8" s="112">
        <v>-1.1722746460465387</v>
      </c>
      <c r="H8" s="118"/>
      <c r="I8" s="94">
        <f>VLOOKUP(A8,$A$4:$G$10,Models!$D$31+1,FALSE)</f>
        <v>-1.0899897929411233</v>
      </c>
      <c r="J8" s="94">
        <f t="shared" si="0"/>
        <v>0.89843720937438087</v>
      </c>
      <c r="L8" s="98">
        <v>40</v>
      </c>
      <c r="M8" s="126">
        <v>2.62602</v>
      </c>
    </row>
    <row r="9" spans="1:15" x14ac:dyDescent="0.2">
      <c r="A9" s="93">
        <v>10</v>
      </c>
      <c r="B9" s="126">
        <v>-1.0401061476730076</v>
      </c>
      <c r="C9" s="126">
        <v>-1.0090525505490437</v>
      </c>
      <c r="D9" s="126">
        <v>-0.9109759656016303</v>
      </c>
      <c r="E9" s="126">
        <v>-1.0043334640576214</v>
      </c>
      <c r="F9" s="126">
        <v>-1.0648450322432061</v>
      </c>
      <c r="G9" s="112">
        <v>-1.1256348467705592</v>
      </c>
      <c r="H9" s="118"/>
      <c r="I9" s="94">
        <f>VLOOKUP(A9,$A$4:$G$10,Models!$D$31+1,FALSE)</f>
        <v>-1.0090525505490437</v>
      </c>
      <c r="J9" s="94">
        <f t="shared" si="0"/>
        <v>0.88268493033565332</v>
      </c>
      <c r="L9" s="98">
        <v>45</v>
      </c>
      <c r="M9" s="126">
        <v>4.8097000000000003</v>
      </c>
    </row>
    <row r="10" spans="1:15" x14ac:dyDescent="0.2">
      <c r="A10" s="95">
        <v>15</v>
      </c>
      <c r="B10" s="127">
        <v>-1.0121945536850772</v>
      </c>
      <c r="C10" s="127">
        <v>-0.96635456814626275</v>
      </c>
      <c r="D10" s="127">
        <v>-0.88990310948808893</v>
      </c>
      <c r="E10" s="127">
        <v>-0.97971406825728613</v>
      </c>
      <c r="F10" s="127">
        <v>-1.0293119689456429</v>
      </c>
      <c r="G10" s="124">
        <v>-1.0968370338296407</v>
      </c>
      <c r="H10" s="118"/>
      <c r="I10" s="96">
        <f>VLOOKUP(A10,$A$4:$G$10,Models!$D$31+1,FALSE)</f>
        <v>-0.96635456814626275</v>
      </c>
      <c r="J10" s="96">
        <f t="shared" si="0"/>
        <v>0.87354897718709112</v>
      </c>
      <c r="L10" s="99">
        <v>50</v>
      </c>
      <c r="M10" s="127">
        <v>15</v>
      </c>
    </row>
    <row r="11" spans="1:15" x14ac:dyDescent="0.2">
      <c r="A11" s="125"/>
      <c r="B11" s="119"/>
      <c r="C11" s="119"/>
      <c r="D11" s="119"/>
      <c r="E11" s="119"/>
      <c r="F11" s="119"/>
      <c r="G11" s="119"/>
      <c r="H11" s="121"/>
      <c r="I11" s="119"/>
      <c r="J11" s="119"/>
      <c r="L11" s="21"/>
      <c r="M11" s="4"/>
    </row>
    <row r="12" spans="1:15" x14ac:dyDescent="0.2">
      <c r="A12" s="128"/>
      <c r="B12" s="121"/>
      <c r="C12" s="121"/>
      <c r="D12" s="121"/>
      <c r="E12" s="121"/>
      <c r="F12" s="121"/>
      <c r="G12" s="121"/>
      <c r="H12" s="121"/>
      <c r="I12" s="121"/>
      <c r="J12" s="121"/>
      <c r="L12" s="91"/>
      <c r="M12" s="6"/>
      <c r="O12" s="92"/>
    </row>
    <row r="13" spans="1:15" ht="18" x14ac:dyDescent="0.35">
      <c r="A13" s="164" t="s">
        <v>74</v>
      </c>
      <c r="B13" s="164"/>
      <c r="C13" s="164"/>
      <c r="D13" s="164"/>
      <c r="E13" s="164"/>
      <c r="F13" s="164"/>
      <c r="G13" s="165"/>
      <c r="H13" s="122"/>
      <c r="I13" s="162" t="s">
        <v>78</v>
      </c>
      <c r="J13" s="162"/>
      <c r="L13" s="91"/>
      <c r="M13" s="6"/>
    </row>
    <row r="14" spans="1:15" ht="16.5" x14ac:dyDescent="0.3">
      <c r="A14" s="10" t="s">
        <v>15</v>
      </c>
      <c r="B14" s="10" t="s">
        <v>25</v>
      </c>
      <c r="C14" s="10" t="s">
        <v>27</v>
      </c>
      <c r="D14" s="10" t="s">
        <v>28</v>
      </c>
      <c r="E14" s="10" t="s">
        <v>26</v>
      </c>
      <c r="F14" s="10" t="s">
        <v>24</v>
      </c>
      <c r="G14" s="16" t="s">
        <v>40</v>
      </c>
      <c r="H14" s="117"/>
      <c r="I14" s="10" t="str">
        <f>Introduction!D16</f>
        <v>Princeton North</v>
      </c>
      <c r="J14" s="10" t="s">
        <v>39</v>
      </c>
      <c r="L14" s="91"/>
      <c r="M14" s="6"/>
    </row>
    <row r="15" spans="1:15" x14ac:dyDescent="0.2">
      <c r="A15" s="93">
        <v>10</v>
      </c>
      <c r="B15" s="126">
        <v>-1.0059690881890577</v>
      </c>
      <c r="C15" s="126">
        <v>-0.97867737240738273</v>
      </c>
      <c r="D15" s="126">
        <v>-0.87426674682746675</v>
      </c>
      <c r="E15" s="126">
        <v>-0.96210277111891918</v>
      </c>
      <c r="F15" s="126">
        <v>-1.0329081865332934</v>
      </c>
      <c r="G15" s="113">
        <v>-1.1805342553618106</v>
      </c>
      <c r="H15" s="115"/>
      <c r="I15" s="94">
        <f>VLOOKUP(A15,$A$15:$G$26,Models!$D$31+1,FALSE)</f>
        <v>-0.97867737240738273</v>
      </c>
      <c r="J15" s="94">
        <f t="shared" ref="J15" si="1">1/(1+EXP(2*I15))</f>
        <v>0.87624638989630588</v>
      </c>
      <c r="L15" s="91"/>
      <c r="M15" s="6"/>
    </row>
    <row r="16" spans="1:15" x14ac:dyDescent="0.2">
      <c r="A16" s="93">
        <v>15</v>
      </c>
      <c r="B16" s="126">
        <v>-0.9778828398588445</v>
      </c>
      <c r="C16" s="126">
        <v>-0.93456378789298888</v>
      </c>
      <c r="D16" s="126">
        <v>-0.85272014880258951</v>
      </c>
      <c r="E16" s="126">
        <v>-0.93688771389348002</v>
      </c>
      <c r="F16" s="126">
        <v>-0.99562585121052949</v>
      </c>
      <c r="G16" s="113">
        <v>-1.1561462834183003</v>
      </c>
      <c r="H16" s="115"/>
      <c r="I16" s="94">
        <f>VLOOKUP(A16,$A$15:$G$26,Models!$D$31+1,FALSE)</f>
        <v>-0.93456378789298888</v>
      </c>
      <c r="J16" s="94">
        <f t="shared" ref="J16" si="2">1/(1+EXP(2*I16))</f>
        <v>0.86635729843986264</v>
      </c>
      <c r="L16" s="91"/>
      <c r="M16" s="6"/>
    </row>
    <row r="17" spans="1:13" x14ac:dyDescent="0.2">
      <c r="A17" s="93">
        <v>20</v>
      </c>
      <c r="B17" s="126">
        <v>-0.93810586936643969</v>
      </c>
      <c r="C17" s="126">
        <v>-0.88577608039760869</v>
      </c>
      <c r="D17" s="126">
        <v>-0.82207221968309652</v>
      </c>
      <c r="E17" s="126">
        <v>-0.90144694160929184</v>
      </c>
      <c r="F17" s="126">
        <v>-0.94491044364009291</v>
      </c>
      <c r="G17" s="113">
        <v>-1.1265639497552811</v>
      </c>
      <c r="H17" s="115"/>
      <c r="I17" s="94">
        <f>VLOOKUP(A17,$A$15:$G$26,Models!$D$31+1,FALSE)</f>
        <v>-0.88577608039760869</v>
      </c>
      <c r="J17" s="94">
        <f t="shared" si="0"/>
        <v>0.85465059122747489</v>
      </c>
      <c r="L17" s="91"/>
      <c r="M17" s="6"/>
    </row>
    <row r="18" spans="1:13" x14ac:dyDescent="0.2">
      <c r="A18" s="93">
        <v>25</v>
      </c>
      <c r="B18" s="126">
        <v>-0.88761866143951096</v>
      </c>
      <c r="C18" s="126">
        <v>-0.83063229603261535</v>
      </c>
      <c r="D18" s="126">
        <v>-0.78407707634718316</v>
      </c>
      <c r="E18" s="126">
        <v>-0.85645781794940679</v>
      </c>
      <c r="F18" s="126">
        <v>-0.88412226434856211</v>
      </c>
      <c r="G18" s="113">
        <v>-1.0874894619222393</v>
      </c>
      <c r="H18" s="115"/>
      <c r="I18" s="94">
        <f>VLOOKUP(A18,$A$15:$G$26,Models!$D$31+1,FALSE)</f>
        <v>-0.83063229603261535</v>
      </c>
      <c r="J18" s="94">
        <f t="shared" si="0"/>
        <v>0.84040768646307418</v>
      </c>
      <c r="L18" s="91"/>
      <c r="M18" s="6"/>
    </row>
    <row r="19" spans="1:13" x14ac:dyDescent="0.2">
      <c r="A19" s="93">
        <v>30</v>
      </c>
      <c r="B19" s="126">
        <v>-0.83222308793731981</v>
      </c>
      <c r="C19" s="126">
        <v>-0.77200338720246053</v>
      </c>
      <c r="D19" s="126">
        <v>-0.74309524259921955</v>
      </c>
      <c r="E19" s="126">
        <v>-0.80848565605858569</v>
      </c>
      <c r="F19" s="126">
        <v>-0.82136257147134217</v>
      </c>
      <c r="G19" s="113">
        <v>-1.0399289295386134</v>
      </c>
      <c r="H19" s="115"/>
      <c r="I19" s="94">
        <f>VLOOKUP(A19,$A$15:$G$26,Models!$D$31+1,FALSE)</f>
        <v>-0.77200338720246053</v>
      </c>
      <c r="J19" s="94">
        <f t="shared" si="0"/>
        <v>0.82404643759946983</v>
      </c>
      <c r="L19" s="91"/>
      <c r="M19" s="6"/>
    </row>
    <row r="20" spans="1:13" x14ac:dyDescent="0.2">
      <c r="A20" s="93">
        <v>35</v>
      </c>
      <c r="B20" s="126">
        <v>-0.77161320305701064</v>
      </c>
      <c r="C20" s="126">
        <v>-0.71174620737879146</v>
      </c>
      <c r="D20" s="126">
        <v>-0.70212800843649648</v>
      </c>
      <c r="E20" s="126">
        <v>-0.75720799673579831</v>
      </c>
      <c r="F20" s="126">
        <v>-0.75642199010305966</v>
      </c>
      <c r="G20" s="113">
        <v>-0.97735816678057041</v>
      </c>
      <c r="H20" s="115"/>
      <c r="I20" s="94">
        <f>VLOOKUP(A20,$A$15:$G$26,Models!$D$31+1,FALSE)</f>
        <v>-0.71174620737879146</v>
      </c>
      <c r="J20" s="94">
        <f t="shared" si="0"/>
        <v>0.80588533309128585</v>
      </c>
      <c r="L20" s="91"/>
      <c r="M20" s="6"/>
    </row>
    <row r="21" spans="1:13" x14ac:dyDescent="0.2">
      <c r="A21" s="93">
        <v>40</v>
      </c>
      <c r="B21" s="126">
        <v>-0.70536613769800149</v>
      </c>
      <c r="C21" s="126">
        <v>-0.6489531581506035</v>
      </c>
      <c r="D21" s="126">
        <v>-0.65777314927556685</v>
      </c>
      <c r="E21" s="126">
        <v>-0.70143650532592283</v>
      </c>
      <c r="F21" s="126">
        <v>-0.68862800696556059</v>
      </c>
      <c r="G21" s="113">
        <v>-0.90885034802260245</v>
      </c>
      <c r="H21" s="115"/>
      <c r="I21" s="94">
        <f>VLOOKUP(A21,$A$15:$G$26,Models!$D$31+1,FALSE)</f>
        <v>-0.6489531581506035</v>
      </c>
      <c r="J21" s="94">
        <f t="shared" si="0"/>
        <v>0.78548240863585217</v>
      </c>
      <c r="L21" s="21"/>
      <c r="M21" s="4"/>
    </row>
    <row r="22" spans="1:13" x14ac:dyDescent="0.2">
      <c r="A22" s="93">
        <v>45</v>
      </c>
      <c r="B22" s="126">
        <v>-0.63225842771700302</v>
      </c>
      <c r="C22" s="126">
        <v>-0.58010435644994485</v>
      </c>
      <c r="D22" s="126">
        <v>-0.60809129187599065</v>
      </c>
      <c r="E22" s="126">
        <v>-0.64063233149904941</v>
      </c>
      <c r="F22" s="126">
        <v>-0.61631192568392912</v>
      </c>
      <c r="G22" s="113">
        <v>-0.83614162392124303</v>
      </c>
      <c r="H22" s="115"/>
      <c r="I22" s="94">
        <f>VLOOKUP(A22,$A$15:$G$26,Models!$D$31+1,FALSE)</f>
        <v>-0.58010435644994485</v>
      </c>
      <c r="J22" s="94">
        <f t="shared" si="0"/>
        <v>0.76137063699611895</v>
      </c>
      <c r="L22" s="21"/>
      <c r="M22" s="4"/>
    </row>
    <row r="23" spans="1:13" x14ac:dyDescent="0.2">
      <c r="A23" s="93">
        <v>50</v>
      </c>
      <c r="B23" s="126">
        <v>-0.54716064042354773</v>
      </c>
      <c r="C23" s="126">
        <v>-0.50864167857923615</v>
      </c>
      <c r="D23" s="126">
        <v>-0.55207839286799509</v>
      </c>
      <c r="E23" s="126">
        <v>-0.56974874560225386</v>
      </c>
      <c r="F23" s="126">
        <v>-0.53540369879947558</v>
      </c>
      <c r="G23" s="113">
        <v>-0.75112561787799181</v>
      </c>
      <c r="H23" s="115"/>
      <c r="I23" s="94">
        <f>VLOOKUP(A23,$A$15:$G$26,Models!$D$31+1,FALSE)</f>
        <v>-0.50864167857923615</v>
      </c>
      <c r="J23" s="94">
        <f t="shared" si="0"/>
        <v>0.7344430926955775</v>
      </c>
      <c r="L23" s="21"/>
      <c r="M23" s="4"/>
    </row>
    <row r="24" spans="1:13" x14ac:dyDescent="0.2">
      <c r="A24" s="93">
        <v>55</v>
      </c>
      <c r="B24" s="126">
        <v>-0.44323137082095437</v>
      </c>
      <c r="C24" s="126">
        <v>-0.42279162488953242</v>
      </c>
      <c r="D24" s="126">
        <v>-0.48008226256731529</v>
      </c>
      <c r="E24" s="126">
        <v>-0.48057184541702924</v>
      </c>
      <c r="F24" s="126">
        <v>-0.43713086722588262</v>
      </c>
      <c r="G24" s="113">
        <v>-0.64669372991870488</v>
      </c>
      <c r="H24" s="115"/>
      <c r="I24" s="94">
        <f>VLOOKUP(A24,$A$15:$G$26,Models!$D$31+1,FALSE)</f>
        <v>-0.42279162488953242</v>
      </c>
      <c r="J24" s="94">
        <f t="shared" si="0"/>
        <v>0.69963980834284722</v>
      </c>
      <c r="L24" s="21"/>
      <c r="M24" s="6"/>
    </row>
    <row r="25" spans="1:13" x14ac:dyDescent="0.2">
      <c r="A25" s="93">
        <v>60</v>
      </c>
      <c r="B25" s="126">
        <v>-0.31406112015068494</v>
      </c>
      <c r="C25" s="126">
        <v>-0.32102416945414897</v>
      </c>
      <c r="D25" s="126">
        <v>-0.38856998615937</v>
      </c>
      <c r="E25" s="126">
        <v>-0.36529580454443744</v>
      </c>
      <c r="F25" s="126">
        <v>-0.3186589915311997</v>
      </c>
      <c r="G25" s="113">
        <v>-0.51612016514848946</v>
      </c>
      <c r="H25" s="115"/>
      <c r="I25" s="94">
        <f>VLOOKUP(A25,$A$15:$G$26,Models!$D$31+1,FALSE)</f>
        <v>-0.32102416945414897</v>
      </c>
      <c r="J25" s="94">
        <f t="shared" si="0"/>
        <v>0.65521634352549429</v>
      </c>
      <c r="L25" s="21"/>
      <c r="M25" s="4"/>
    </row>
    <row r="26" spans="1:13" x14ac:dyDescent="0.2">
      <c r="A26" s="95">
        <v>65</v>
      </c>
      <c r="B26" s="127">
        <v>-0.15350037229977559</v>
      </c>
      <c r="C26" s="127">
        <v>-0.18761837894537206</v>
      </c>
      <c r="D26" s="127">
        <v>-0.25906906882787523</v>
      </c>
      <c r="E26" s="127">
        <v>-0.21177193364854202</v>
      </c>
      <c r="F26" s="127">
        <v>-0.16637525937102554</v>
      </c>
      <c r="G26" s="114">
        <v>-0.36125614416418289</v>
      </c>
      <c r="H26" s="115"/>
      <c r="I26" s="96">
        <f>VLOOKUP(A26,$A$15:$G$26,Models!$D$31+1,FALSE)</f>
        <v>-0.18761837894537206</v>
      </c>
      <c r="J26" s="96">
        <f t="shared" si="0"/>
        <v>0.59272375510914355</v>
      </c>
      <c r="L26" s="21"/>
      <c r="M26" s="4"/>
    </row>
    <row r="27" spans="1:13" x14ac:dyDescent="0.2">
      <c r="L27" s="21"/>
      <c r="M27" s="4"/>
    </row>
    <row r="28" spans="1:13" x14ac:dyDescent="0.2">
      <c r="B28" s="163" t="str">
        <f>Introduction!D9&amp;" "&amp; TEXT(YEAR(Introduction!D11),"####")</f>
        <v>Malawi 2008</v>
      </c>
      <c r="C28" s="163"/>
      <c r="D28" s="163"/>
      <c r="L28" s="21"/>
      <c r="M28" s="4"/>
    </row>
    <row r="29" spans="1:13" x14ac:dyDescent="0.2">
      <c r="B29" s="11" t="s">
        <v>9</v>
      </c>
      <c r="C29" s="139">
        <f>YEAR(Introduction!D11)+YEARFRAC(DATE(YEAR(Introduction!D11),1,1),Introduction!D11,1)</f>
        <v>2008.4344262295083</v>
      </c>
      <c r="D29" s="11"/>
      <c r="L29" s="21"/>
      <c r="M29" s="4"/>
    </row>
    <row r="30" spans="1:13" x14ac:dyDescent="0.2">
      <c r="B30" s="11"/>
      <c r="C30" s="11"/>
      <c r="D30" s="11"/>
      <c r="L30" s="21"/>
      <c r="M30" s="4"/>
    </row>
    <row r="31" spans="1:13" x14ac:dyDescent="0.2">
      <c r="B31" s="24" t="s">
        <v>14</v>
      </c>
      <c r="C31" s="11"/>
      <c r="D31" s="11">
        <f>MATCH(Introduction!D16,C32:C37,0)</f>
        <v>2</v>
      </c>
      <c r="L31" s="21"/>
      <c r="M31" s="4"/>
    </row>
    <row r="32" spans="1:13" x14ac:dyDescent="0.2">
      <c r="B32" s="11"/>
      <c r="C32" s="25" t="s">
        <v>25</v>
      </c>
      <c r="D32" s="11"/>
      <c r="L32" s="21"/>
      <c r="M32" s="4"/>
    </row>
    <row r="33" spans="2:13" x14ac:dyDescent="0.2">
      <c r="B33" s="11"/>
      <c r="C33" s="26" t="s">
        <v>27</v>
      </c>
      <c r="D33" s="11"/>
      <c r="L33" s="21"/>
      <c r="M33" s="4"/>
    </row>
    <row r="34" spans="2:13" x14ac:dyDescent="0.2">
      <c r="B34" s="11"/>
      <c r="C34" s="26" t="s">
        <v>28</v>
      </c>
      <c r="D34" s="11"/>
      <c r="L34" s="21"/>
      <c r="M34" s="4"/>
    </row>
    <row r="35" spans="2:13" x14ac:dyDescent="0.2">
      <c r="B35" s="11"/>
      <c r="C35" s="26" t="s">
        <v>26</v>
      </c>
      <c r="D35" s="11"/>
      <c r="L35" s="21"/>
      <c r="M35" s="4"/>
    </row>
    <row r="36" spans="2:13" x14ac:dyDescent="0.2">
      <c r="B36" s="11"/>
      <c r="C36" s="26" t="s">
        <v>24</v>
      </c>
      <c r="D36" s="11"/>
      <c r="L36" s="21"/>
      <c r="M36" s="4"/>
    </row>
    <row r="37" spans="2:13" x14ac:dyDescent="0.2">
      <c r="B37" s="11"/>
      <c r="C37" s="27" t="s">
        <v>40</v>
      </c>
      <c r="D37" s="11"/>
      <c r="L37" s="21"/>
      <c r="M37" s="4"/>
    </row>
    <row r="38" spans="2:13" x14ac:dyDescent="0.2">
      <c r="B38" s="11"/>
      <c r="C38" s="11"/>
      <c r="D38" s="11"/>
      <c r="L38" s="21"/>
      <c r="M38" s="4"/>
    </row>
    <row r="39" spans="2:13" x14ac:dyDescent="0.2">
      <c r="B39" s="11" t="s">
        <v>32</v>
      </c>
      <c r="C39" s="11"/>
      <c r="D39" s="11">
        <f>MATCH(Introduction!D30,C40:C41,0)</f>
        <v>1</v>
      </c>
      <c r="L39" s="21"/>
      <c r="M39" s="4"/>
    </row>
    <row r="40" spans="2:13" x14ac:dyDescent="0.2">
      <c r="B40" s="11"/>
      <c r="C40" s="25" t="s">
        <v>45</v>
      </c>
      <c r="D40" s="110"/>
      <c r="L40" s="21"/>
      <c r="M40" s="4"/>
    </row>
    <row r="41" spans="2:13" x14ac:dyDescent="0.2">
      <c r="B41" s="11"/>
      <c r="C41" s="27" t="s">
        <v>33</v>
      </c>
      <c r="D41" s="111"/>
      <c r="L41" s="21"/>
      <c r="M41" s="4"/>
    </row>
    <row r="42" spans="2:13" x14ac:dyDescent="0.2">
      <c r="B42" s="11"/>
      <c r="C42" s="11"/>
      <c r="D42" s="11"/>
      <c r="L42" s="21"/>
      <c r="M42" s="4"/>
    </row>
    <row r="43" spans="2:13" x14ac:dyDescent="0.2">
      <c r="B43" s="11" t="s">
        <v>34</v>
      </c>
      <c r="C43" s="11"/>
      <c r="D43" s="11">
        <f>MATCH(Introduction!D29,C44:C45,0)</f>
        <v>1</v>
      </c>
      <c r="L43" s="21"/>
      <c r="M43" s="4"/>
    </row>
    <row r="44" spans="2:13" x14ac:dyDescent="0.2">
      <c r="B44" s="11"/>
      <c r="C44" s="25" t="s">
        <v>46</v>
      </c>
      <c r="D44" s="11"/>
      <c r="L44" s="21"/>
      <c r="M44" s="4"/>
    </row>
    <row r="45" spans="2:13" x14ac:dyDescent="0.2">
      <c r="B45" s="11"/>
      <c r="C45" s="27" t="s">
        <v>47</v>
      </c>
      <c r="D45" s="11"/>
      <c r="L45" s="21"/>
      <c r="M45" s="4"/>
    </row>
    <row r="46" spans="2:13" x14ac:dyDescent="0.2">
      <c r="L46" s="21"/>
      <c r="M46" s="4"/>
    </row>
    <row r="47" spans="2:13" x14ac:dyDescent="0.2">
      <c r="L47" s="21"/>
      <c r="M47" s="4"/>
    </row>
    <row r="48" spans="2:13" x14ac:dyDescent="0.2">
      <c r="L48" s="21"/>
      <c r="M48" s="4"/>
    </row>
    <row r="49" spans="12:13" x14ac:dyDescent="0.2">
      <c r="L49" s="21"/>
      <c r="M49" s="4"/>
    </row>
    <row r="50" spans="12:13" x14ac:dyDescent="0.2">
      <c r="L50" s="21"/>
      <c r="M50" s="4"/>
    </row>
    <row r="51" spans="12:13" x14ac:dyDescent="0.2">
      <c r="L51" s="21"/>
      <c r="M51" s="4"/>
    </row>
    <row r="52" spans="12:13" x14ac:dyDescent="0.2">
      <c r="L52" s="21"/>
      <c r="M52" s="4"/>
    </row>
    <row r="53" spans="12:13" x14ac:dyDescent="0.2">
      <c r="L53" s="21"/>
      <c r="M53" s="4"/>
    </row>
    <row r="54" spans="12:13" x14ac:dyDescent="0.2">
      <c r="L54" s="21"/>
      <c r="M54" s="4"/>
    </row>
    <row r="55" spans="12:13" x14ac:dyDescent="0.2">
      <c r="L55" s="21"/>
      <c r="M55" s="4"/>
    </row>
    <row r="56" spans="12:13" x14ac:dyDescent="0.2">
      <c r="L56" s="21"/>
      <c r="M56" s="4"/>
    </row>
    <row r="57" spans="12:13" x14ac:dyDescent="0.2">
      <c r="L57" s="21"/>
      <c r="M57" s="4"/>
    </row>
    <row r="58" spans="12:13" x14ac:dyDescent="0.2">
      <c r="L58" s="21"/>
      <c r="M58" s="4"/>
    </row>
    <row r="59" spans="12:13" x14ac:dyDescent="0.2">
      <c r="L59" s="21"/>
      <c r="M59" s="4"/>
    </row>
    <row r="60" spans="12:13" x14ac:dyDescent="0.2">
      <c r="L60" s="21"/>
      <c r="M60" s="4"/>
    </row>
    <row r="61" spans="12:13" x14ac:dyDescent="0.2">
      <c r="L61" s="21"/>
      <c r="M61" s="4"/>
    </row>
    <row r="62" spans="12:13" x14ac:dyDescent="0.2">
      <c r="L62" s="21"/>
      <c r="M62" s="4"/>
    </row>
    <row r="63" spans="12:13" x14ac:dyDescent="0.2">
      <c r="L63" s="21"/>
      <c r="M63" s="4"/>
    </row>
    <row r="64" spans="12:13" x14ac:dyDescent="0.2">
      <c r="L64" s="21"/>
      <c r="M64" s="4"/>
    </row>
    <row r="65" spans="12:13" x14ac:dyDescent="0.2">
      <c r="L65" s="21"/>
      <c r="M65" s="4"/>
    </row>
    <row r="66" spans="12:13" x14ac:dyDescent="0.2">
      <c r="L66" s="21"/>
      <c r="M66" s="4"/>
    </row>
    <row r="67" spans="12:13" x14ac:dyDescent="0.2">
      <c r="L67" s="21"/>
      <c r="M67" s="4"/>
    </row>
    <row r="68" spans="12:13" x14ac:dyDescent="0.2">
      <c r="L68" s="21"/>
      <c r="M68" s="4"/>
    </row>
    <row r="69" spans="12:13" x14ac:dyDescent="0.2">
      <c r="L69" s="21"/>
      <c r="M69" s="4"/>
    </row>
    <row r="70" spans="12:13" x14ac:dyDescent="0.2">
      <c r="L70" s="21"/>
      <c r="M70" s="4"/>
    </row>
    <row r="71" spans="12:13" x14ac:dyDescent="0.2">
      <c r="L71" s="21"/>
      <c r="M71" s="4"/>
    </row>
    <row r="72" spans="12:13" x14ac:dyDescent="0.2">
      <c r="L72" s="21"/>
      <c r="M72" s="4"/>
    </row>
    <row r="73" spans="12:13" x14ac:dyDescent="0.2">
      <c r="L73" s="21"/>
      <c r="M73" s="4"/>
    </row>
    <row r="74" spans="12:13" x14ac:dyDescent="0.2">
      <c r="L74" s="21"/>
      <c r="M74" s="4"/>
    </row>
    <row r="75" spans="12:13" x14ac:dyDescent="0.2">
      <c r="L75" s="21"/>
      <c r="M75" s="4"/>
    </row>
    <row r="76" spans="12:13" x14ac:dyDescent="0.2">
      <c r="L76" s="21"/>
      <c r="M76" s="4"/>
    </row>
    <row r="77" spans="12:13" x14ac:dyDescent="0.2">
      <c r="L77" s="21"/>
      <c r="M77" s="4"/>
    </row>
    <row r="78" spans="12:13" x14ac:dyDescent="0.2">
      <c r="L78" s="21"/>
      <c r="M78" s="4"/>
    </row>
    <row r="79" spans="12:13" x14ac:dyDescent="0.2">
      <c r="L79" s="21"/>
      <c r="M79" s="4"/>
    </row>
    <row r="80" spans="12:13" x14ac:dyDescent="0.2">
      <c r="L80" s="21"/>
      <c r="M80" s="4"/>
    </row>
    <row r="81" spans="12:13" x14ac:dyDescent="0.2">
      <c r="L81" s="21"/>
      <c r="M81" s="4"/>
    </row>
    <row r="82" spans="12:13" x14ac:dyDescent="0.2">
      <c r="L82" s="21"/>
      <c r="M82" s="4"/>
    </row>
    <row r="83" spans="12:13" x14ac:dyDescent="0.2">
      <c r="L83" s="21"/>
      <c r="M83" s="4"/>
    </row>
    <row r="84" spans="12:13" x14ac:dyDescent="0.2">
      <c r="L84" s="21"/>
      <c r="M84" s="4"/>
    </row>
    <row r="85" spans="12:13" x14ac:dyDescent="0.2">
      <c r="L85" s="21"/>
      <c r="M85" s="4"/>
    </row>
    <row r="86" spans="12:13" x14ac:dyDescent="0.2">
      <c r="L86" s="21"/>
      <c r="M86" s="4"/>
    </row>
    <row r="87" spans="12:13" x14ac:dyDescent="0.2">
      <c r="L87" s="21"/>
      <c r="M87" s="4"/>
    </row>
  </sheetData>
  <sheetProtection sheet="1" objects="1" scenarios="1"/>
  <mergeCells count="5">
    <mergeCell ref="I1:J1"/>
    <mergeCell ref="B28:D28"/>
    <mergeCell ref="A13:G13"/>
    <mergeCell ref="A1:G1"/>
    <mergeCell ref="I13:J13"/>
  </mergeCells>
  <dataValidations count="1">
    <dataValidation type="decimal" allowBlank="1" showInputMessage="1" showErrorMessage="1" error="Enter appropriate numeric values for the logits" sqref="G4:H12 G15:H26">
      <formula1>-2</formula1>
      <formula2>2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/>
  <dimension ref="A1:AL93"/>
  <sheetViews>
    <sheetView tabSelected="1" zoomScale="85" zoomScaleNormal="85" workbookViewId="0">
      <selection activeCell="I11" sqref="I11"/>
    </sheetView>
  </sheetViews>
  <sheetFormatPr defaultColWidth="12.6640625" defaultRowHeight="12.75" x14ac:dyDescent="0.2"/>
  <cols>
    <col min="1" max="1" width="6.77734375" style="4" customWidth="1"/>
    <col min="2" max="4" width="9.21875" style="4" customWidth="1"/>
    <col min="5" max="5" width="4.77734375" style="4" customWidth="1"/>
    <col min="6" max="6" width="9.21875" style="4" customWidth="1"/>
    <col min="7" max="8" width="9.21875" style="28" customWidth="1"/>
    <col min="9" max="9" width="9.21875" style="4" customWidth="1"/>
    <col min="10" max="10" width="4.77734375" style="4" customWidth="1"/>
    <col min="11" max="11" width="7.44140625" style="21" customWidth="1"/>
    <col min="12" max="12" width="10.21875" style="4" customWidth="1"/>
    <col min="13" max="39" width="9.21875" style="4" customWidth="1"/>
    <col min="40" max="16384" width="12.6640625" style="4"/>
  </cols>
  <sheetData>
    <row r="1" spans="1:24" ht="18.75" customHeight="1" x14ac:dyDescent="0.3">
      <c r="A1" s="167" t="str">
        <f>"Data from the "&amp;TEXT(YEAR(Introduction!D11),"#### ")&amp;" census of "&amp;Introduction!D9</f>
        <v>Data from the 2008  census of Malawi</v>
      </c>
      <c r="B1" s="167"/>
      <c r="C1" s="167"/>
      <c r="D1" s="167"/>
      <c r="F1" s="167" t="s">
        <v>13</v>
      </c>
      <c r="G1" s="167"/>
      <c r="H1" s="167"/>
      <c r="K1" s="89" t="s">
        <v>35</v>
      </c>
      <c r="L1" s="89"/>
      <c r="N1" s="168" t="s">
        <v>57</v>
      </c>
      <c r="O1" s="169"/>
      <c r="P1" s="169"/>
      <c r="Q1" s="169"/>
    </row>
    <row r="2" spans="1:24" ht="18.75" customHeight="1" x14ac:dyDescent="0.35">
      <c r="A2" s="48" t="s">
        <v>15</v>
      </c>
      <c r="B2" s="48" t="s">
        <v>16</v>
      </c>
      <c r="C2" s="48" t="s">
        <v>15</v>
      </c>
      <c r="D2" s="48" t="s">
        <v>0</v>
      </c>
      <c r="F2" s="12" t="s">
        <v>53</v>
      </c>
      <c r="G2" s="20" t="s">
        <v>36</v>
      </c>
      <c r="H2" s="12" t="s">
        <v>77</v>
      </c>
      <c r="K2" s="12" t="s">
        <v>53</v>
      </c>
      <c r="L2" s="55" t="s">
        <v>8</v>
      </c>
      <c r="N2" s="17" t="s">
        <v>17</v>
      </c>
      <c r="O2" s="16" t="s">
        <v>62</v>
      </c>
      <c r="P2" s="16" t="s">
        <v>63</v>
      </c>
      <c r="Q2" s="16" t="s">
        <v>64</v>
      </c>
      <c r="R2" s="16" t="s">
        <v>66</v>
      </c>
      <c r="S2" s="16" t="s">
        <v>67</v>
      </c>
      <c r="T2" s="16" t="s">
        <v>68</v>
      </c>
      <c r="U2" s="16" t="s">
        <v>69</v>
      </c>
      <c r="V2" s="16" t="s">
        <v>70</v>
      </c>
      <c r="W2" s="16" t="s">
        <v>71</v>
      </c>
      <c r="X2" s="16" t="s">
        <v>65</v>
      </c>
    </row>
    <row r="3" spans="1:24" ht="18.75" customHeight="1" x14ac:dyDescent="0.2">
      <c r="A3" s="21">
        <v>0</v>
      </c>
      <c r="B3" s="46"/>
      <c r="C3" s="47" t="s">
        <v>20</v>
      </c>
      <c r="D3" s="46"/>
      <c r="F3" s="29">
        <f t="array" ref="F3:F17">TRANSPOSE(L21:Z21)</f>
        <v>2007.9344262295083</v>
      </c>
      <c r="G3" s="87" t="e">
        <f t="array" ref="G3:G17">TRANSPOSE(L43:Z43)</f>
        <v>#DIV/0!</v>
      </c>
      <c r="H3" s="22" t="e">
        <f t="array" ref="H3:H17">TRANSPOSE(L42:Z42)</f>
        <v>#DIV/0!</v>
      </c>
      <c r="K3" s="5">
        <f>F3</f>
        <v>2007.9344262295083</v>
      </c>
      <c r="L3" s="23">
        <f t="shared" ref="L3:L17" si="0">B3/X3</f>
        <v>0</v>
      </c>
      <c r="N3" s="18">
        <v>0</v>
      </c>
      <c r="O3" s="6"/>
      <c r="P3" s="6"/>
      <c r="Q3" s="6"/>
      <c r="R3" s="6">
        <f>0.3+0.7*1/(1+EXP(2*O4))</f>
        <v>0.95423869187535315</v>
      </c>
      <c r="S3" s="6">
        <f>0.3+0.7*1/(1+EXP(2*P4))</f>
        <v>0.94628015432233714</v>
      </c>
      <c r="T3" s="6">
        <f>0.3+0.7*1/(1+EXP(2*Q4))</f>
        <v>0.94240361927714078</v>
      </c>
      <c r="U3" s="6">
        <f>R3</f>
        <v>0.95423869187535315</v>
      </c>
      <c r="V3" s="6">
        <f>S3</f>
        <v>0.94628015432233714</v>
      </c>
      <c r="W3" s="6">
        <f>T3</f>
        <v>0.94240361927714078</v>
      </c>
      <c r="X3" s="6">
        <f>U3</f>
        <v>0.95423869187535315</v>
      </c>
    </row>
    <row r="4" spans="1:24" ht="18.75" customHeight="1" x14ac:dyDescent="0.2">
      <c r="A4" s="21">
        <v>1</v>
      </c>
      <c r="B4" s="46"/>
      <c r="C4" s="47" t="s">
        <v>1</v>
      </c>
      <c r="D4" s="46"/>
      <c r="F4" s="29">
        <v>2006.9344262295083</v>
      </c>
      <c r="G4" s="87" t="e">
        <v>#DIV/0!</v>
      </c>
      <c r="H4" s="22" t="e">
        <v>#DIV/0!</v>
      </c>
      <c r="K4" s="5">
        <f t="shared" ref="K4:K17" si="1">F4</f>
        <v>2006.9344262295083</v>
      </c>
      <c r="L4" s="23">
        <f t="shared" si="0"/>
        <v>0</v>
      </c>
      <c r="N4" s="18">
        <v>1</v>
      </c>
      <c r="O4" s="6">
        <f>Introduction!D$20+Introduction!D$21*Models!$I4</f>
        <v>-1.3300166619272631</v>
      </c>
      <c r="P4" s="6">
        <f>Introduction!E$20+Introduction!E$21*Models!$I4</f>
        <v>-1.2437252931299423</v>
      </c>
      <c r="Q4" s="6">
        <f>Introduction!F$20+Introduction!F$21*Models!$I4</f>
        <v>-1.2058785327773305</v>
      </c>
      <c r="R4" s="6">
        <f t="shared" ref="R4:T7" si="2">1/(1+EXP(O4+O5))</f>
        <v>0.92806491497556864</v>
      </c>
      <c r="S4" s="6">
        <f t="shared" si="2"/>
        <v>0.91487766611473731</v>
      </c>
      <c r="T4" s="6">
        <f t="shared" si="2"/>
        <v>0.90815951517128835</v>
      </c>
      <c r="U4" s="6">
        <f>R4/R3</f>
        <v>0.97257103791469035</v>
      </c>
      <c r="V4" s="6">
        <f t="shared" ref="V4:W17" si="3">S4/S3</f>
        <v>0.96681480842204892</v>
      </c>
      <c r="W4" s="6">
        <f t="shared" si="3"/>
        <v>0.96366301719838576</v>
      </c>
      <c r="X4" s="6">
        <f>U3*U4</f>
        <v>0.92806491497556864</v>
      </c>
    </row>
    <row r="5" spans="1:24" ht="18.75" customHeight="1" x14ac:dyDescent="0.2">
      <c r="A5" s="21">
        <v>2</v>
      </c>
      <c r="B5" s="46"/>
      <c r="C5" s="47" t="s">
        <v>2</v>
      </c>
      <c r="D5" s="46"/>
      <c r="F5" s="29">
        <v>2005.9344262295083</v>
      </c>
      <c r="G5" s="87" t="e">
        <v>#DIV/0!</v>
      </c>
      <c r="H5" s="22" t="e">
        <v>#DIV/0!</v>
      </c>
      <c r="K5" s="5">
        <f t="shared" si="1"/>
        <v>2005.9344262295083</v>
      </c>
      <c r="L5" s="23">
        <f t="shared" si="0"/>
        <v>0</v>
      </c>
      <c r="N5" s="18">
        <v>2</v>
      </c>
      <c r="O5" s="6">
        <f>Introduction!D$20+Introduction!D$21*Models!$I5</f>
        <v>-1.2273209044445137</v>
      </c>
      <c r="P5" s="6">
        <f>Introduction!E$20+Introduction!E$21*Models!$I5</f>
        <v>-1.1309756209896318</v>
      </c>
      <c r="Q5" s="6">
        <f>Introduction!F$20+Introduction!F$21*Models!$I5</f>
        <v>-1.0854882962803034</v>
      </c>
      <c r="R5" s="6">
        <f t="shared" si="2"/>
        <v>0.91634489902758598</v>
      </c>
      <c r="S5" s="6">
        <f t="shared" si="2"/>
        <v>0.89980255866927206</v>
      </c>
      <c r="T5" s="6">
        <f t="shared" si="2"/>
        <v>0.89085683494735302</v>
      </c>
      <c r="U5" s="6">
        <f t="shared" ref="U5:U17" si="4">R5/R4</f>
        <v>0.98737155584823377</v>
      </c>
      <c r="V5" s="6">
        <f t="shared" si="3"/>
        <v>0.98352226969373346</v>
      </c>
      <c r="W5" s="6">
        <f t="shared" si="3"/>
        <v>0.9809475318653994</v>
      </c>
      <c r="X5" s="6">
        <f>U3*U4*U5</f>
        <v>0.91634489902758598</v>
      </c>
    </row>
    <row r="6" spans="1:24" ht="18.75" customHeight="1" x14ac:dyDescent="0.2">
      <c r="A6" s="21">
        <v>3</v>
      </c>
      <c r="B6" s="46"/>
      <c r="C6" s="47" t="s">
        <v>3</v>
      </c>
      <c r="D6" s="46"/>
      <c r="F6" s="29">
        <v>2004.9344262295083</v>
      </c>
      <c r="G6" s="87" t="e">
        <v>#DIV/0!</v>
      </c>
      <c r="H6" s="22" t="e">
        <v>#DIV/0!</v>
      </c>
      <c r="K6" s="5">
        <f t="shared" si="1"/>
        <v>2004.9344262295083</v>
      </c>
      <c r="L6" s="23">
        <f t="shared" si="0"/>
        <v>0</v>
      </c>
      <c r="N6" s="18">
        <v>3</v>
      </c>
      <c r="O6" s="6">
        <f>Introduction!D$20+Introduction!D$21*Models!$I6</f>
        <v>-1.1663695111648762</v>
      </c>
      <c r="P6" s="6">
        <f>Introduction!E$20+Introduction!E$21*Models!$I6</f>
        <v>-1.0640570863079177</v>
      </c>
      <c r="Q6" s="6">
        <f>Introduction!F$20+Introduction!F$21*Models!$I6</f>
        <v>-1.0140349779385842</v>
      </c>
      <c r="R6" s="6">
        <f t="shared" si="2"/>
        <v>0.90795764673422097</v>
      </c>
      <c r="S6" s="6">
        <f t="shared" si="2"/>
        <v>0.88894768573127569</v>
      </c>
      <c r="T6" s="6">
        <f t="shared" si="2"/>
        <v>0.87833265884613776</v>
      </c>
      <c r="U6" s="6">
        <f t="shared" si="4"/>
        <v>0.99084705736642886</v>
      </c>
      <c r="V6" s="6">
        <f t="shared" si="3"/>
        <v>0.98793638356168967</v>
      </c>
      <c r="W6" s="6">
        <f t="shared" si="3"/>
        <v>0.98594142671425378</v>
      </c>
      <c r="X6" s="6">
        <f>(0.8*U3+0.2*V3)*U4*U5*U6</f>
        <v>0.90644313781950037</v>
      </c>
    </row>
    <row r="7" spans="1:24" ht="18.75" customHeight="1" x14ac:dyDescent="0.2">
      <c r="A7" s="21">
        <v>4</v>
      </c>
      <c r="B7" s="46"/>
      <c r="C7" s="47" t="s">
        <v>4</v>
      </c>
      <c r="D7" s="46"/>
      <c r="F7" s="29">
        <v>2003.9344262295083</v>
      </c>
      <c r="G7" s="87" t="e">
        <v>#DIV/0!</v>
      </c>
      <c r="H7" s="22" t="e">
        <v>#DIV/0!</v>
      </c>
      <c r="K7" s="5">
        <f t="shared" si="1"/>
        <v>2003.9344262295083</v>
      </c>
      <c r="L7" s="23">
        <f t="shared" si="0"/>
        <v>0</v>
      </c>
      <c r="N7" s="18">
        <v>4</v>
      </c>
      <c r="O7" s="6">
        <f>Introduction!D$20+Introduction!D$21*Models!$I7</f>
        <v>-1.1225793890829769</v>
      </c>
      <c r="P7" s="6">
        <f>Introduction!E$20+Introduction!E$21*Models!$I7</f>
        <v>-1.0159799112742005</v>
      </c>
      <c r="Q7" s="6">
        <f>Introduction!F$20+Introduction!F$21*Models!$I7</f>
        <v>-0.96269981782197389</v>
      </c>
      <c r="R7" s="6">
        <f t="shared" si="2"/>
        <v>0.90137256291625467</v>
      </c>
      <c r="S7" s="6">
        <f t="shared" si="2"/>
        <v>0.88039538762930081</v>
      </c>
      <c r="T7" s="6">
        <f t="shared" si="2"/>
        <v>0.86843535841487596</v>
      </c>
      <c r="U7" s="6">
        <f t="shared" si="4"/>
        <v>0.99274736675036357</v>
      </c>
      <c r="V7" s="6">
        <f t="shared" si="3"/>
        <v>0.99037930101034066</v>
      </c>
      <c r="W7" s="6">
        <f t="shared" si="3"/>
        <v>0.98873171761111123</v>
      </c>
      <c r="X7" s="6">
        <f>(0.6*U3+0.4*V3)*(0.8*U4+0.2*V4)*U5*U6*U7</f>
        <v>0.89730210565770441</v>
      </c>
    </row>
    <row r="8" spans="1:24" ht="18.75" customHeight="1" x14ac:dyDescent="0.2">
      <c r="A8" s="21">
        <v>5</v>
      </c>
      <c r="B8" s="46"/>
      <c r="C8" s="47" t="s">
        <v>5</v>
      </c>
      <c r="D8" s="46"/>
      <c r="F8" s="29">
        <v>2002.9344262295083</v>
      </c>
      <c r="G8" s="87" t="e">
        <v>#DIV/0!</v>
      </c>
      <c r="H8" s="22" t="e">
        <v>#DIV/0!</v>
      </c>
      <c r="K8" s="5">
        <f t="shared" si="1"/>
        <v>2002.9344262295083</v>
      </c>
      <c r="L8" s="23">
        <f t="shared" si="0"/>
        <v>0</v>
      </c>
      <c r="N8" s="18">
        <v>5</v>
      </c>
      <c r="O8" s="6">
        <f>Introduction!D$20+Introduction!D$21*Models!$I8</f>
        <v>-1.0899897929411233</v>
      </c>
      <c r="P8" s="6">
        <f>Introduction!E$20+Introduction!E$21*Models!$I8</f>
        <v>-0.98019979367005938</v>
      </c>
      <c r="Q8" s="6">
        <f>Introduction!F$20+Introduction!F$21*Models!$I8</f>
        <v>-0.92449503426487878</v>
      </c>
      <c r="R8" s="6">
        <f>1/(1+EXP(1.8*O8+0.2*O13))</f>
        <v>0.89695058467770827</v>
      </c>
      <c r="S8" s="6">
        <f>1/(1+EXP(1.8*P8+0.2*P13))</f>
        <v>0.87464050574455554</v>
      </c>
      <c r="T8" s="6">
        <f>1/(1+EXP(1.8*Q8+0.2*Q13))</f>
        <v>0.86176333775539682</v>
      </c>
      <c r="U8" s="6">
        <f t="shared" si="4"/>
        <v>0.99509417257583288</v>
      </c>
      <c r="V8" s="6">
        <f t="shared" si="3"/>
        <v>0.99346329846156756</v>
      </c>
      <c r="W8" s="6">
        <f t="shared" si="3"/>
        <v>0.99231719368076243</v>
      </c>
      <c r="X8" s="6">
        <f>(0.4*U3+0.6*V3)*(0.6*U4+0.4*V4)*(0.8*U5+0.2*V5)*U6*U7*U8</f>
        <v>0.88965509019007949</v>
      </c>
    </row>
    <row r="9" spans="1:24" ht="18.75" customHeight="1" x14ac:dyDescent="0.2">
      <c r="A9" s="21">
        <v>6</v>
      </c>
      <c r="B9" s="46"/>
      <c r="C9" s="47" t="s">
        <v>6</v>
      </c>
      <c r="D9" s="46"/>
      <c r="F9" s="29">
        <v>2001.9344262295083</v>
      </c>
      <c r="G9" s="87" t="e">
        <v>#DIV/0!</v>
      </c>
      <c r="H9" s="22" t="e">
        <v>#DIV/0!</v>
      </c>
      <c r="K9" s="5">
        <f t="shared" si="1"/>
        <v>2001.9344262295083</v>
      </c>
      <c r="L9" s="23">
        <f t="shared" si="0"/>
        <v>0</v>
      </c>
      <c r="N9" s="18">
        <v>6</v>
      </c>
      <c r="O9" s="6"/>
      <c r="P9" s="6"/>
      <c r="Q9" s="6"/>
      <c r="R9" s="6">
        <f>1/(1+EXP(1.4*O8+0.6*O13))</f>
        <v>0.89391947666493643</v>
      </c>
      <c r="S9" s="6">
        <f>1/(1+EXP(1.4*P8+0.6*P13))</f>
        <v>0.87069108195746092</v>
      </c>
      <c r="T9" s="6">
        <f>1/(1+EXP(1.4*Q8+0.6*Q13))</f>
        <v>0.85717970564080292</v>
      </c>
      <c r="U9" s="6">
        <f t="shared" si="4"/>
        <v>0.99662065216908136</v>
      </c>
      <c r="V9" s="6">
        <f t="shared" si="3"/>
        <v>0.99548451762620738</v>
      </c>
      <c r="W9" s="6">
        <f t="shared" si="3"/>
        <v>0.9946811010473795</v>
      </c>
      <c r="X9" s="6">
        <f>(0.2*U3+0.8*V3)*(0.4*U4+0.6*V4)*(0.6*U5+0.4*V5)*(0.8*U6+0.2*V6)*U7*U8*U9</f>
        <v>0.88290306356931725</v>
      </c>
    </row>
    <row r="10" spans="1:24" ht="18.75" customHeight="1" x14ac:dyDescent="0.2">
      <c r="A10" s="21">
        <v>7</v>
      </c>
      <c r="B10" s="46"/>
      <c r="C10" s="47" t="s">
        <v>7</v>
      </c>
      <c r="D10" s="46"/>
      <c r="F10" s="29">
        <v>2000.9344262295083</v>
      </c>
      <c r="G10" s="87" t="e">
        <v>#DIV/0!</v>
      </c>
      <c r="H10" s="22" t="e">
        <v>#DIV/0!</v>
      </c>
      <c r="K10" s="5">
        <f t="shared" si="1"/>
        <v>2000.9344262295083</v>
      </c>
      <c r="L10" s="23">
        <f t="shared" si="0"/>
        <v>0</v>
      </c>
      <c r="N10" s="18">
        <v>7</v>
      </c>
      <c r="O10" s="6"/>
      <c r="P10" s="6"/>
      <c r="Q10" s="6"/>
      <c r="R10" s="6">
        <f>1/(1+EXP(O8+O13))</f>
        <v>0.89081006481241609</v>
      </c>
      <c r="S10" s="6">
        <f>1/(1+EXP(P8+P13))</f>
        <v>0.86663620466682489</v>
      </c>
      <c r="T10" s="6">
        <f>1/(1+EXP(Q8+Q13))</f>
        <v>0.85247010894762965</v>
      </c>
      <c r="U10" s="6">
        <f t="shared" si="4"/>
        <v>0.99652159737684531</v>
      </c>
      <c r="V10" s="6">
        <f t="shared" si="3"/>
        <v>0.99534292084223486</v>
      </c>
      <c r="W10" s="6">
        <f t="shared" si="3"/>
        <v>0.9945057067238281</v>
      </c>
      <c r="X10" s="6">
        <f>V3*(0.2*U4+0.8*V4)*(0.4*U5+0.6*V5)*(0.6*U6+0.4*V6)*(0.8*U7+0.2*V7)*U8*U9*U10</f>
        <v>0.87569268221872876</v>
      </c>
    </row>
    <row r="11" spans="1:24" ht="18.75" customHeight="1" x14ac:dyDescent="0.2">
      <c r="A11" s="21">
        <v>8</v>
      </c>
      <c r="B11" s="46"/>
      <c r="C11" s="47" t="s">
        <v>21</v>
      </c>
      <c r="D11" s="46"/>
      <c r="F11" s="29">
        <v>1999.9344262295083</v>
      </c>
      <c r="G11" s="87" t="e">
        <v>#DIV/0!</v>
      </c>
      <c r="H11" s="22" t="e">
        <v>#DIV/0!</v>
      </c>
      <c r="K11" s="5">
        <f t="shared" si="1"/>
        <v>1999.9344262295083</v>
      </c>
      <c r="L11" s="23">
        <f t="shared" si="0"/>
        <v>0</v>
      </c>
      <c r="N11" s="18">
        <v>8</v>
      </c>
      <c r="O11" s="6"/>
      <c r="P11" s="6"/>
      <c r="Q11" s="6"/>
      <c r="R11" s="6">
        <f>1/(1+EXP(0.6*O8+1.4*O13))</f>
        <v>0.88762096845035499</v>
      </c>
      <c r="S11" s="6">
        <f>1/(1+EXP(0.6*P8+1.4*P13))</f>
        <v>0.86247425812045742</v>
      </c>
      <c r="T11" s="6">
        <f>1/(1+EXP(0.6*Q8+1.4*Q13))</f>
        <v>0.84763281568136173</v>
      </c>
      <c r="U11" s="6">
        <f t="shared" si="4"/>
        <v>0.99642000411980902</v>
      </c>
      <c r="V11" s="6">
        <f t="shared" si="3"/>
        <v>0.99519758518746915</v>
      </c>
      <c r="W11" s="6">
        <f t="shared" si="3"/>
        <v>0.99432555673742096</v>
      </c>
      <c r="X11" s="6">
        <f>(0.2*W3+0.8*V3)*V4*(0.2*U5+0.8*V5)*(0.4*U6+0.6*V6)*(0.6*U7+0.4*V7)*(0.8*U8+0.2*V8)*U9*U10*U11</f>
        <v>0.86891353042442887</v>
      </c>
    </row>
    <row r="12" spans="1:24" ht="18.75" customHeight="1" x14ac:dyDescent="0.2">
      <c r="A12" s="21">
        <v>9</v>
      </c>
      <c r="B12" s="46"/>
      <c r="C12" s="47" t="s">
        <v>22</v>
      </c>
      <c r="D12" s="46"/>
      <c r="F12" s="29">
        <v>1998.9344262295083</v>
      </c>
      <c r="G12" s="87" t="e">
        <v>#DIV/0!</v>
      </c>
      <c r="H12" s="22" t="e">
        <v>#DIV/0!</v>
      </c>
      <c r="K12" s="5">
        <f t="shared" si="1"/>
        <v>1998.9344262295083</v>
      </c>
      <c r="L12" s="23">
        <f t="shared" si="0"/>
        <v>0</v>
      </c>
      <c r="N12" s="18">
        <v>9</v>
      </c>
      <c r="O12" s="6"/>
      <c r="P12" s="6"/>
      <c r="Q12" s="6"/>
      <c r="R12" s="6">
        <f>1/(1+EXP(0.2*O8+1.8*O13))</f>
        <v>0.88435082089540351</v>
      </c>
      <c r="S12" s="6">
        <f>1/(1+EXP(0.2*P8+1.8*P13))</f>
        <v>0.85820367894168537</v>
      </c>
      <c r="T12" s="6">
        <f>1/(1+EXP(0.2*Q8+1.8*Q13))</f>
        <v>0.84266618754839739</v>
      </c>
      <c r="U12" s="6">
        <f t="shared" si="4"/>
        <v>0.99631582886030667</v>
      </c>
      <c r="V12" s="6">
        <f t="shared" si="3"/>
        <v>0.99504845606861514</v>
      </c>
      <c r="W12" s="6">
        <f t="shared" si="3"/>
        <v>0.99414059007499378</v>
      </c>
      <c r="X12" s="6">
        <f>(0.4*W3+0.6*V3)*(0.2*W4+0.8*V4)*V5*(0.2*U6+0.8*V6)*(0.4*U7+0.6*V7)*(0.6*U8+0.4*V8)*(0.8*U9+0.2*V9)*U10*U11*U12</f>
        <v>0.8623621607180475</v>
      </c>
    </row>
    <row r="13" spans="1:24" ht="18.75" customHeight="1" x14ac:dyDescent="0.2">
      <c r="A13" s="21">
        <v>10</v>
      </c>
      <c r="B13" s="46"/>
      <c r="C13" s="47" t="s">
        <v>23</v>
      </c>
      <c r="D13" s="46"/>
      <c r="F13" s="29">
        <v>1997.9344262295083</v>
      </c>
      <c r="G13" s="87" t="e">
        <v>#DIV/0!</v>
      </c>
      <c r="H13" s="22" t="e">
        <v>#DIV/0!</v>
      </c>
      <c r="K13" s="5">
        <f t="shared" si="1"/>
        <v>1997.9344262295083</v>
      </c>
      <c r="L13" s="23">
        <f t="shared" si="0"/>
        <v>0</v>
      </c>
      <c r="N13" s="18">
        <v>10</v>
      </c>
      <c r="O13" s="6">
        <f>Introduction!D$20+Introduction!D$21*Models!$I9</f>
        <v>-1.0090525505490437</v>
      </c>
      <c r="P13" s="6">
        <f>Introduction!E$20+Introduction!E$21*Models!$I9</f>
        <v>-0.89133879524779525</v>
      </c>
      <c r="Q13" s="6">
        <f>Introduction!F$20+Introduction!F$21*Models!$I9</f>
        <v>-0.82961230500864391</v>
      </c>
      <c r="R13" s="6">
        <f>1/(1+EXP(1.8*O13+0.2*O18))</f>
        <v>0.88179774203885197</v>
      </c>
      <c r="S13" s="6">
        <f>1/(1+EXP(1.8*P13+0.2*P18))</f>
        <v>0.85486782253229732</v>
      </c>
      <c r="T13" s="6">
        <f>1/(1+EXP(1.8*Q13+0.2*Q18))</f>
        <v>0.838784743443031</v>
      </c>
      <c r="U13" s="6">
        <f>R13/R12</f>
        <v>0.99711304745104823</v>
      </c>
      <c r="V13" s="6">
        <f>S13/S12</f>
        <v>0.99611297819941558</v>
      </c>
      <c r="W13" s="6">
        <f>T13/T12</f>
        <v>0.99539385326868424</v>
      </c>
      <c r="X13" s="6">
        <f>(0.6*W3+0.4*V3)*(0.4*W4+0.6*V4)*(0.2*W5+0.8*V5)*V6*(0.2*U7+0.8*V7)*(0.4*U8+0.6*V8)*(0.6*U9+0.4*V9)*(0.8*U10+0.2*V10)*U11*U12*U13</f>
        <v>0.85656241995239069</v>
      </c>
    </row>
    <row r="14" spans="1:24" ht="18.75" customHeight="1" x14ac:dyDescent="0.2">
      <c r="A14" s="21">
        <v>11</v>
      </c>
      <c r="B14" s="46"/>
      <c r="C14" s="19"/>
      <c r="D14" s="19"/>
      <c r="F14" s="29">
        <v>1996.9344262295083</v>
      </c>
      <c r="G14" s="87" t="e">
        <v>#DIV/0!</v>
      </c>
      <c r="H14" s="22" t="e">
        <v>#DIV/0!</v>
      </c>
      <c r="K14" s="5">
        <f t="shared" si="1"/>
        <v>1996.9344262295083</v>
      </c>
      <c r="L14" s="23">
        <f t="shared" si="0"/>
        <v>0</v>
      </c>
      <c r="N14" s="18">
        <v>11</v>
      </c>
      <c r="O14" s="6"/>
      <c r="P14" s="6"/>
      <c r="Q14" s="6"/>
      <c r="R14" s="6">
        <f>1/(1+EXP(1.4*O13+0.6*O18))</f>
        <v>0.88000592899313035</v>
      </c>
      <c r="S14" s="6">
        <f>1/(1+EXP(1.4*P13+0.6*P18))</f>
        <v>0.8525258621290871</v>
      </c>
      <c r="T14" s="6">
        <f>1/(1+EXP(1.4*Q13+0.6*Q18))</f>
        <v>0.83605888012301477</v>
      </c>
      <c r="U14" s="6">
        <f t="shared" si="4"/>
        <v>0.99796799996155727</v>
      </c>
      <c r="V14" s="6">
        <f t="shared" si="3"/>
        <v>0.99726044150746851</v>
      </c>
      <c r="W14" s="6">
        <f t="shared" si="3"/>
        <v>0.99675022305624306</v>
      </c>
      <c r="X14" s="6">
        <f>(0.8*W3+0.2*V3)*(0.6*W4+0.4*V4)*(0.4*W5+0.6*V5)*(0.2*W6+0.8*V6)*V7*(0.2*U8+0.8*V8)*(0.4*U9+0.6*V9)*(0.6*U10+0.4*V10)*(0.8*U11+0.2*V11)*U12*U13*U14</f>
        <v>0.85147831850961075</v>
      </c>
    </row>
    <row r="15" spans="1:24" ht="18.75" customHeight="1" x14ac:dyDescent="0.2">
      <c r="A15" s="21">
        <v>12</v>
      </c>
      <c r="B15" s="46"/>
      <c r="C15" s="19"/>
      <c r="D15" s="19"/>
      <c r="F15" s="29">
        <v>1995.9344262295083</v>
      </c>
      <c r="G15" s="87" t="e">
        <v>#DIV/0!</v>
      </c>
      <c r="H15" s="22" t="e">
        <v>#DIV/0!</v>
      </c>
      <c r="K15" s="5">
        <f t="shared" si="1"/>
        <v>1995.9344262295083</v>
      </c>
      <c r="L15" s="23">
        <f t="shared" si="0"/>
        <v>0</v>
      </c>
      <c r="N15" s="18">
        <v>12</v>
      </c>
      <c r="O15" s="6"/>
      <c r="P15" s="6"/>
      <c r="Q15" s="6"/>
      <c r="R15" s="6">
        <f>1/(1+EXP(O13+O18))</f>
        <v>0.8781907061516645</v>
      </c>
      <c r="S15" s="6">
        <f>1/(1+EXP(P13+P18))</f>
        <v>0.85015273449668394</v>
      </c>
      <c r="T15" s="6">
        <f>1/(1+EXP(Q13+Q18))</f>
        <v>0.83329608733947691</v>
      </c>
      <c r="U15" s="6">
        <f t="shared" si="4"/>
        <v>0.99793726066875166</v>
      </c>
      <c r="V15" s="6">
        <f t="shared" si="3"/>
        <v>0.99721635701880462</v>
      </c>
      <c r="W15" s="6">
        <f t="shared" si="3"/>
        <v>0.99669545668466397</v>
      </c>
      <c r="X15" s="6">
        <f>W3*(0.8*W4+0.2*V4)*(0.6*W5+0.4*V5)*(0.4*W6+0.6*V6)*(0.2*W7+0.8*V7)*V8*(0.2*U9+0.8*V9)*(0.4*U10+0.6*V10)*(0.6*U11+0.4*V11)*(0.8*U12+0.2*V12)*U13*U14*U15</f>
        <v>0.84630443291947799</v>
      </c>
    </row>
    <row r="16" spans="1:24" ht="18.75" customHeight="1" x14ac:dyDescent="0.2">
      <c r="A16" s="21">
        <v>13</v>
      </c>
      <c r="B16" s="46"/>
      <c r="C16" s="19"/>
      <c r="D16" s="19"/>
      <c r="F16" s="29">
        <v>1994.9344262295083</v>
      </c>
      <c r="G16" s="87" t="e">
        <v>#DIV/0!</v>
      </c>
      <c r="H16" s="22" t="e">
        <v>#DIV/0!</v>
      </c>
      <c r="K16" s="5">
        <f t="shared" si="1"/>
        <v>1994.9344262295083</v>
      </c>
      <c r="L16" s="23">
        <f t="shared" si="0"/>
        <v>0</v>
      </c>
      <c r="N16" s="18">
        <v>13</v>
      </c>
      <c r="O16" s="6"/>
      <c r="P16" s="6"/>
      <c r="Q16" s="6"/>
      <c r="R16" s="6">
        <f>1/(1+EXP(0.6*O13+1.4*O18))</f>
        <v>0.87635188169063583</v>
      </c>
      <c r="S16" s="6">
        <f>1/(1+EXP(0.6*P13+1.4*P18))</f>
        <v>0.8477482388643337</v>
      </c>
      <c r="T16" s="6">
        <f>1/(1+EXP(0.6*Q13+1.4*Q18))</f>
        <v>0.83049617456251679</v>
      </c>
      <c r="U16" s="6">
        <f t="shared" si="4"/>
        <v>0.99790612170209969</v>
      </c>
      <c r="V16" s="6">
        <f t="shared" si="3"/>
        <v>0.99717168982138982</v>
      </c>
      <c r="W16" s="6">
        <f t="shared" si="3"/>
        <v>0.9966399544897665</v>
      </c>
      <c r="X16" s="6">
        <f>W3*W4*(0.8*W5+0.2*V5)*(0.6*W6+0.4*V6)*(0.4*W7+0.6*V7)*(0.2*W8+0.8*V8)*V9*(0.2*U10+0.8*V10)*(0.4*U11+0.6*V11)*(0.6*U12+0.4*V12)*(0.8*U13+0.2*V13)*U14*U15*U16</f>
        <v>0.84173992583975987</v>
      </c>
    </row>
    <row r="17" spans="1:38" ht="18.75" customHeight="1" x14ac:dyDescent="0.2">
      <c r="A17" s="49">
        <v>14</v>
      </c>
      <c r="B17" s="50"/>
      <c r="C17" s="51"/>
      <c r="D17" s="51"/>
      <c r="F17" s="52">
        <v>1993.9344262295083</v>
      </c>
      <c r="G17" s="88" t="e">
        <v>#DIV/0!</v>
      </c>
      <c r="H17" s="53" t="e">
        <v>#DIV/0!</v>
      </c>
      <c r="K17" s="136">
        <f t="shared" si="1"/>
        <v>1993.9344262295083</v>
      </c>
      <c r="L17" s="54">
        <f t="shared" si="0"/>
        <v>0</v>
      </c>
      <c r="N17" s="18">
        <v>14</v>
      </c>
      <c r="O17" s="6"/>
      <c r="P17" s="6"/>
      <c r="Q17" s="6"/>
      <c r="R17" s="6">
        <f>1/(1+EXP(0.2*O13+1.8*O18))</f>
        <v>0.8744892657395601</v>
      </c>
      <c r="S17" s="6">
        <f>1/(1+EXP(0.2*P13+1.8*P18))</f>
        <v>0.8453121802932545</v>
      </c>
      <c r="T17" s="6">
        <f>1/(1+EXP(0.2*Q13+1.8*Q18))</f>
        <v>0.8276589611876668</v>
      </c>
      <c r="U17" s="6">
        <f t="shared" si="4"/>
        <v>0.99787457984630279</v>
      </c>
      <c r="V17" s="6">
        <f t="shared" si="3"/>
        <v>0.99712643629393716</v>
      </c>
      <c r="W17" s="6">
        <f t="shared" si="3"/>
        <v>0.99658371289145964</v>
      </c>
      <c r="X17" s="6">
        <f>W3*W4*W5*(0.8*W6+0.2*V6)*(0.6*W7+0.4*V7)*(0.4*W8+0.6*V8)*(0.2*W9+0.8*V9)*V10*(0.2*U11+0.8*V11)*(0.4*U12+0.6*V12)*(0.6*U13+0.4*V13)*(0.8*U14+0.2*V14)*U15*U16*U17</f>
        <v>0.83765767287261994</v>
      </c>
    </row>
    <row r="18" spans="1:38" ht="18.75" customHeight="1" x14ac:dyDescent="0.2">
      <c r="K18" s="18"/>
      <c r="L18" s="19"/>
      <c r="N18" s="56">
        <v>15</v>
      </c>
      <c r="O18" s="57">
        <f>Introduction!D$20+Introduction!D$21*Models!$I10</f>
        <v>-0.96635456814626275</v>
      </c>
      <c r="P18" s="57">
        <f>Introduction!E$20+Introduction!E$21*Models!$I10</f>
        <v>-0.84446068036778199</v>
      </c>
      <c r="Q18" s="57">
        <f>Introduction!F$20+Introduction!F$21*Models!$I10</f>
        <v>-0.77955746023786388</v>
      </c>
      <c r="R18" s="57"/>
      <c r="S18" s="57"/>
      <c r="T18" s="57"/>
      <c r="U18" s="57"/>
      <c r="V18" s="57"/>
      <c r="W18" s="57"/>
      <c r="X18" s="58"/>
    </row>
    <row r="19" spans="1:38" ht="18.75" customHeight="1" x14ac:dyDescent="0.2">
      <c r="B19" s="6"/>
      <c r="C19" s="6"/>
      <c r="D19" s="6"/>
      <c r="K19" s="18"/>
      <c r="L19" s="19"/>
      <c r="N19" s="18"/>
      <c r="O19" s="101"/>
      <c r="P19" s="101"/>
      <c r="Q19" s="101"/>
      <c r="R19" s="101"/>
      <c r="S19" s="101"/>
      <c r="T19" s="101"/>
      <c r="U19" s="101"/>
      <c r="V19" s="101"/>
      <c r="W19" s="101"/>
      <c r="X19" s="109"/>
    </row>
    <row r="20" spans="1:38" ht="18.75" customHeight="1" x14ac:dyDescent="0.3">
      <c r="B20" s="6"/>
      <c r="C20" s="6"/>
      <c r="D20" s="6"/>
      <c r="F20" s="45" t="s">
        <v>72</v>
      </c>
      <c r="G20" s="45"/>
      <c r="H20" s="45"/>
      <c r="K20" s="30" t="s">
        <v>54</v>
      </c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AD20" s="6"/>
      <c r="AE20" s="6"/>
      <c r="AF20" s="6"/>
      <c r="AG20" s="6"/>
      <c r="AH20" s="6"/>
      <c r="AI20" s="6"/>
      <c r="AJ20" s="6"/>
      <c r="AK20" s="6"/>
      <c r="AL20" s="6"/>
    </row>
    <row r="21" spans="1:38" ht="18.75" customHeight="1" x14ac:dyDescent="0.2">
      <c r="B21" s="6"/>
      <c r="C21" s="6"/>
      <c r="D21" s="6"/>
      <c r="F21" s="55" t="s">
        <v>55</v>
      </c>
      <c r="G21" s="31">
        <f>IF(Models!$D$43=1,Models!$C$29,1900+YEARFRAC(DATE(1900,1,1),Introduction!E32,1))</f>
        <v>2008.4344262295083</v>
      </c>
      <c r="H21" s="31">
        <f>IF(Models!$D$43=1,Models!$C$29-15,1900+YEARFRAC(DATE(1900,1,1),Introduction!F32,1))</f>
        <v>1993.4344262295083</v>
      </c>
      <c r="K21" s="55" t="s">
        <v>55</v>
      </c>
      <c r="L21" s="31">
        <f>Models!C29-0.5</f>
        <v>2007.9344262295083</v>
      </c>
      <c r="M21" s="31">
        <f>L21-1</f>
        <v>2006.9344262295083</v>
      </c>
      <c r="N21" s="31">
        <f t="shared" ref="N21:Z21" si="5">M21-1</f>
        <v>2005.9344262295083</v>
      </c>
      <c r="O21" s="31">
        <f t="shared" si="5"/>
        <v>2004.9344262295083</v>
      </c>
      <c r="P21" s="31">
        <f t="shared" si="5"/>
        <v>2003.9344262295083</v>
      </c>
      <c r="Q21" s="31">
        <f t="shared" si="5"/>
        <v>2002.9344262295083</v>
      </c>
      <c r="R21" s="31">
        <f t="shared" si="5"/>
        <v>2001.9344262295083</v>
      </c>
      <c r="S21" s="31">
        <f t="shared" si="5"/>
        <v>2000.9344262295083</v>
      </c>
      <c r="T21" s="31">
        <f t="shared" si="5"/>
        <v>1999.9344262295083</v>
      </c>
      <c r="U21" s="31">
        <f t="shared" si="5"/>
        <v>1998.9344262295083</v>
      </c>
      <c r="V21" s="31">
        <f t="shared" si="5"/>
        <v>1997.9344262295083</v>
      </c>
      <c r="W21" s="31">
        <f t="shared" si="5"/>
        <v>1996.9344262295083</v>
      </c>
      <c r="X21" s="31">
        <f t="shared" si="5"/>
        <v>1995.9344262295083</v>
      </c>
      <c r="Y21" s="31">
        <f t="shared" si="5"/>
        <v>1994.9344262295083</v>
      </c>
      <c r="Z21" s="31">
        <f t="shared" si="5"/>
        <v>1993.9344262295083</v>
      </c>
    </row>
    <row r="22" spans="1:38" ht="18.75" customHeight="1" x14ac:dyDescent="0.2">
      <c r="B22" s="6"/>
      <c r="C22" s="6"/>
      <c r="D22" s="6"/>
      <c r="F22" s="43" t="s">
        <v>20</v>
      </c>
      <c r="G22" s="6" t="e">
        <f>IF(Models!$D$39=1,Introduction!E33/SUM(Introduction!E$33:E$40)/5,EXP(-EXP(-(Introduction!E$33+Introduction!E$34*Models!$M3)))/5)</f>
        <v>#DIV/0!</v>
      </c>
      <c r="H22" s="6" t="e">
        <f>IF(Models!$D$43=1,G22,IF(Models!$D$39=1,Introduction!F33/SUM(Introduction!F$33:F$40)/5,EXP(-EXP(-(Introduction!F$33+Introduction!F$34*Models!$M3)))/5))</f>
        <v>#DIV/0!</v>
      </c>
      <c r="K22" s="15" t="s">
        <v>20</v>
      </c>
      <c r="L22" s="6" t="e">
        <f t="shared" ref="L22:Z29" si="6">$G22+(L$21-$G$21)*($H22-$G22)/($H$21-$G$21)</f>
        <v>#DIV/0!</v>
      </c>
      <c r="M22" s="6" t="e">
        <f t="shared" si="6"/>
        <v>#DIV/0!</v>
      </c>
      <c r="N22" s="6" t="e">
        <f t="shared" si="6"/>
        <v>#DIV/0!</v>
      </c>
      <c r="O22" s="6" t="e">
        <f t="shared" si="6"/>
        <v>#DIV/0!</v>
      </c>
      <c r="P22" s="6" t="e">
        <f t="shared" si="6"/>
        <v>#DIV/0!</v>
      </c>
      <c r="Q22" s="6" t="e">
        <f t="shared" si="6"/>
        <v>#DIV/0!</v>
      </c>
      <c r="R22" s="6" t="e">
        <f t="shared" si="6"/>
        <v>#DIV/0!</v>
      </c>
      <c r="S22" s="6" t="e">
        <f t="shared" si="6"/>
        <v>#DIV/0!</v>
      </c>
      <c r="T22" s="6" t="e">
        <f t="shared" si="6"/>
        <v>#DIV/0!</v>
      </c>
      <c r="U22" s="6" t="e">
        <f t="shared" si="6"/>
        <v>#DIV/0!</v>
      </c>
      <c r="V22" s="6" t="e">
        <f t="shared" si="6"/>
        <v>#DIV/0!</v>
      </c>
      <c r="W22" s="6" t="e">
        <f t="shared" si="6"/>
        <v>#DIV/0!</v>
      </c>
      <c r="X22" s="6" t="e">
        <f t="shared" si="6"/>
        <v>#DIV/0!</v>
      </c>
      <c r="Y22" s="6" t="e">
        <f t="shared" si="6"/>
        <v>#DIV/0!</v>
      </c>
      <c r="Z22" s="6" t="e">
        <f t="shared" si="6"/>
        <v>#DIV/0!</v>
      </c>
    </row>
    <row r="23" spans="1:38" ht="18.75" customHeight="1" x14ac:dyDescent="0.2">
      <c r="B23" s="6"/>
      <c r="C23" s="6"/>
      <c r="D23" s="6"/>
      <c r="F23" s="43" t="s">
        <v>1</v>
      </c>
      <c r="G23" s="6" t="e">
        <f>IF(Models!$D$39=1,Introduction!E34/SUM(Introduction!E$33:E$40)/5,(EXP(-EXP(-(Introduction!E$33+Introduction!E$34*Models!$M4)))-EXP(-EXP(-(Introduction!E$33+Introduction!E$34*Models!$M3))))/5)</f>
        <v>#DIV/0!</v>
      </c>
      <c r="H23" s="6" t="e">
        <f>IF(Models!$D$43=1,G23,IF(Models!$D$39=1,Introduction!F34/SUM(Introduction!F$33:F$40)/5,(EXP(-EXP(-(Introduction!F$33+Introduction!F$34*Models!$M4)))-EXP(-EXP(-(Introduction!F$33+Introduction!F$34*Models!$M3))))/5))</f>
        <v>#DIV/0!</v>
      </c>
      <c r="K23" s="15" t="s">
        <v>1</v>
      </c>
      <c r="L23" s="6" t="e">
        <f t="shared" si="6"/>
        <v>#DIV/0!</v>
      </c>
      <c r="M23" s="6" t="e">
        <f t="shared" si="6"/>
        <v>#DIV/0!</v>
      </c>
      <c r="N23" s="6" t="e">
        <f t="shared" si="6"/>
        <v>#DIV/0!</v>
      </c>
      <c r="O23" s="6" t="e">
        <f t="shared" si="6"/>
        <v>#DIV/0!</v>
      </c>
      <c r="P23" s="6" t="e">
        <f t="shared" si="6"/>
        <v>#DIV/0!</v>
      </c>
      <c r="Q23" s="6" t="e">
        <f t="shared" si="6"/>
        <v>#DIV/0!</v>
      </c>
      <c r="R23" s="6" t="e">
        <f t="shared" si="6"/>
        <v>#DIV/0!</v>
      </c>
      <c r="S23" s="6" t="e">
        <f t="shared" si="6"/>
        <v>#DIV/0!</v>
      </c>
      <c r="T23" s="6" t="e">
        <f t="shared" si="6"/>
        <v>#DIV/0!</v>
      </c>
      <c r="U23" s="6" t="e">
        <f t="shared" si="6"/>
        <v>#DIV/0!</v>
      </c>
      <c r="V23" s="6" t="e">
        <f t="shared" si="6"/>
        <v>#DIV/0!</v>
      </c>
      <c r="W23" s="6" t="e">
        <f t="shared" si="6"/>
        <v>#DIV/0!</v>
      </c>
      <c r="X23" s="6" t="e">
        <f t="shared" si="6"/>
        <v>#DIV/0!</v>
      </c>
      <c r="Y23" s="6" t="e">
        <f t="shared" si="6"/>
        <v>#DIV/0!</v>
      </c>
      <c r="Z23" s="6" t="e">
        <f t="shared" si="6"/>
        <v>#DIV/0!</v>
      </c>
    </row>
    <row r="24" spans="1:38" ht="18.75" customHeight="1" x14ac:dyDescent="0.2">
      <c r="B24" s="6"/>
      <c r="C24" s="6"/>
      <c r="D24" s="6"/>
      <c r="F24" s="43" t="s">
        <v>2</v>
      </c>
      <c r="G24" s="6" t="e">
        <f>IF(Models!$D$39=1,Introduction!E35/SUM(Introduction!E$33:E$40)/5,(EXP(-EXP(-(Introduction!E$33+Introduction!E$34*Models!$M5)))-EXP(-EXP(-(Introduction!E$33+Introduction!E$34*Models!$M4))))/5)</f>
        <v>#DIV/0!</v>
      </c>
      <c r="H24" s="6" t="e">
        <f>IF(Models!$D$43=1,G24,IF(Models!$D$39=1,Introduction!F35/SUM(Introduction!F$33:F$40)/5,(EXP(-EXP(-(Introduction!F$33+Introduction!F$34*Models!$M5)))-EXP(-EXP(-(Introduction!F$33+Introduction!F$34*Models!$M4))))/5))</f>
        <v>#DIV/0!</v>
      </c>
      <c r="K24" s="15" t="s">
        <v>2</v>
      </c>
      <c r="L24" s="6" t="e">
        <f t="shared" si="6"/>
        <v>#DIV/0!</v>
      </c>
      <c r="M24" s="6" t="e">
        <f t="shared" si="6"/>
        <v>#DIV/0!</v>
      </c>
      <c r="N24" s="6" t="e">
        <f t="shared" si="6"/>
        <v>#DIV/0!</v>
      </c>
      <c r="O24" s="6" t="e">
        <f t="shared" si="6"/>
        <v>#DIV/0!</v>
      </c>
      <c r="P24" s="6" t="e">
        <f t="shared" si="6"/>
        <v>#DIV/0!</v>
      </c>
      <c r="Q24" s="6" t="e">
        <f t="shared" si="6"/>
        <v>#DIV/0!</v>
      </c>
      <c r="R24" s="6" t="e">
        <f t="shared" si="6"/>
        <v>#DIV/0!</v>
      </c>
      <c r="S24" s="6" t="e">
        <f t="shared" si="6"/>
        <v>#DIV/0!</v>
      </c>
      <c r="T24" s="6" t="e">
        <f t="shared" si="6"/>
        <v>#DIV/0!</v>
      </c>
      <c r="U24" s="6" t="e">
        <f t="shared" si="6"/>
        <v>#DIV/0!</v>
      </c>
      <c r="V24" s="6" t="e">
        <f t="shared" si="6"/>
        <v>#DIV/0!</v>
      </c>
      <c r="W24" s="6" t="e">
        <f t="shared" si="6"/>
        <v>#DIV/0!</v>
      </c>
      <c r="X24" s="6" t="e">
        <f t="shared" si="6"/>
        <v>#DIV/0!</v>
      </c>
      <c r="Y24" s="6" t="e">
        <f t="shared" si="6"/>
        <v>#DIV/0!</v>
      </c>
      <c r="Z24" s="6" t="e">
        <f t="shared" si="6"/>
        <v>#DIV/0!</v>
      </c>
    </row>
    <row r="25" spans="1:38" ht="18.75" customHeight="1" x14ac:dyDescent="0.2">
      <c r="B25" s="6"/>
      <c r="C25" s="6"/>
      <c r="D25" s="6"/>
      <c r="F25" s="43" t="s">
        <v>3</v>
      </c>
      <c r="G25" s="6" t="e">
        <f>IF(Models!$D$39=1,Introduction!E36/SUM(Introduction!E$33:E$40)/5,(EXP(-EXP(-(Introduction!E$33+Introduction!E$34*Models!$M6)))-EXP(-EXP(-(Introduction!E$33+Introduction!E$34*Models!$M5))))/5)</f>
        <v>#DIV/0!</v>
      </c>
      <c r="H25" s="6" t="e">
        <f>IF(Models!$D$43=1,G25,IF(Models!$D$39=1,Introduction!F36/SUM(Introduction!F$33:F$40)/5,(EXP(-EXP(-(Introduction!F$33+Introduction!F$34*Models!$M6)))-EXP(-EXP(-(Introduction!F$33+Introduction!F$34*Models!$M5))))/5))</f>
        <v>#DIV/0!</v>
      </c>
      <c r="K25" s="15" t="s">
        <v>3</v>
      </c>
      <c r="L25" s="6" t="e">
        <f t="shared" si="6"/>
        <v>#DIV/0!</v>
      </c>
      <c r="M25" s="6" t="e">
        <f t="shared" si="6"/>
        <v>#DIV/0!</v>
      </c>
      <c r="N25" s="6" t="e">
        <f t="shared" si="6"/>
        <v>#DIV/0!</v>
      </c>
      <c r="O25" s="6" t="e">
        <f t="shared" si="6"/>
        <v>#DIV/0!</v>
      </c>
      <c r="P25" s="6" t="e">
        <f t="shared" si="6"/>
        <v>#DIV/0!</v>
      </c>
      <c r="Q25" s="6" t="e">
        <f t="shared" si="6"/>
        <v>#DIV/0!</v>
      </c>
      <c r="R25" s="6" t="e">
        <f t="shared" si="6"/>
        <v>#DIV/0!</v>
      </c>
      <c r="S25" s="6" t="e">
        <f t="shared" si="6"/>
        <v>#DIV/0!</v>
      </c>
      <c r="T25" s="6" t="e">
        <f t="shared" si="6"/>
        <v>#DIV/0!</v>
      </c>
      <c r="U25" s="6" t="e">
        <f t="shared" si="6"/>
        <v>#DIV/0!</v>
      </c>
      <c r="V25" s="6" t="e">
        <f t="shared" si="6"/>
        <v>#DIV/0!</v>
      </c>
      <c r="W25" s="6" t="e">
        <f t="shared" si="6"/>
        <v>#DIV/0!</v>
      </c>
      <c r="X25" s="6" t="e">
        <f t="shared" si="6"/>
        <v>#DIV/0!</v>
      </c>
      <c r="Y25" s="6" t="e">
        <f t="shared" si="6"/>
        <v>#DIV/0!</v>
      </c>
      <c r="Z25" s="6" t="e">
        <f t="shared" si="6"/>
        <v>#DIV/0!</v>
      </c>
    </row>
    <row r="26" spans="1:38" ht="18.75" customHeight="1" x14ac:dyDescent="0.2">
      <c r="B26" s="6"/>
      <c r="C26" s="6"/>
      <c r="D26" s="6"/>
      <c r="F26" s="43" t="s">
        <v>4</v>
      </c>
      <c r="G26" s="6" t="e">
        <f>IF(Models!$D$39=1,Introduction!E37/SUM(Introduction!E$33:E$40)/5,(EXP(-EXP(-(Introduction!E$33+Introduction!E$34*Models!$M7)))-EXP(-EXP(-(Introduction!E$33+Introduction!E$34*Models!$M6))))/5)</f>
        <v>#DIV/0!</v>
      </c>
      <c r="H26" s="6" t="e">
        <f>IF(Models!$D$43=1,G26,IF(Models!$D$39=1,Introduction!F37/SUM(Introduction!F$33:F$40)/5,(EXP(-EXP(-(Introduction!F$33+Introduction!F$34*Models!$M7)))-EXP(-EXP(-(Introduction!F$33+Introduction!F$34*Models!$M6))))/5))</f>
        <v>#DIV/0!</v>
      </c>
      <c r="K26" s="15" t="s">
        <v>4</v>
      </c>
      <c r="L26" s="6" t="e">
        <f t="shared" si="6"/>
        <v>#DIV/0!</v>
      </c>
      <c r="M26" s="6" t="e">
        <f t="shared" si="6"/>
        <v>#DIV/0!</v>
      </c>
      <c r="N26" s="6" t="e">
        <f t="shared" si="6"/>
        <v>#DIV/0!</v>
      </c>
      <c r="O26" s="6" t="e">
        <f t="shared" si="6"/>
        <v>#DIV/0!</v>
      </c>
      <c r="P26" s="6" t="e">
        <f t="shared" si="6"/>
        <v>#DIV/0!</v>
      </c>
      <c r="Q26" s="6" t="e">
        <f t="shared" si="6"/>
        <v>#DIV/0!</v>
      </c>
      <c r="R26" s="6" t="e">
        <f t="shared" si="6"/>
        <v>#DIV/0!</v>
      </c>
      <c r="S26" s="6" t="e">
        <f t="shared" si="6"/>
        <v>#DIV/0!</v>
      </c>
      <c r="T26" s="6" t="e">
        <f t="shared" si="6"/>
        <v>#DIV/0!</v>
      </c>
      <c r="U26" s="6" t="e">
        <f t="shared" si="6"/>
        <v>#DIV/0!</v>
      </c>
      <c r="V26" s="6" t="e">
        <f t="shared" si="6"/>
        <v>#DIV/0!</v>
      </c>
      <c r="W26" s="6" t="e">
        <f t="shared" si="6"/>
        <v>#DIV/0!</v>
      </c>
      <c r="X26" s="6" t="e">
        <f t="shared" si="6"/>
        <v>#DIV/0!</v>
      </c>
      <c r="Y26" s="6" t="e">
        <f t="shared" si="6"/>
        <v>#DIV/0!</v>
      </c>
      <c r="Z26" s="6" t="e">
        <f t="shared" si="6"/>
        <v>#DIV/0!</v>
      </c>
    </row>
    <row r="27" spans="1:38" ht="18.75" customHeight="1" x14ac:dyDescent="0.2">
      <c r="B27" s="6"/>
      <c r="C27" s="6"/>
      <c r="D27" s="6"/>
      <c r="F27" s="43" t="s">
        <v>5</v>
      </c>
      <c r="G27" s="6" t="e">
        <f>IF(Models!$D$39=1,Introduction!E38/SUM(Introduction!E$33:E$40)/5,(EXP(-EXP(-(Introduction!E$33+Introduction!E$34*Models!$M8)))-EXP(-EXP(-(Introduction!E$33+Introduction!E$34*Models!$M7))))/5)</f>
        <v>#DIV/0!</v>
      </c>
      <c r="H27" s="6" t="e">
        <f>IF(Models!$D$43=1,G27,IF(Models!$D$39=1,Introduction!F38/SUM(Introduction!F$33:F$40)/5,(EXP(-EXP(-(Introduction!F$33+Introduction!F$34*Models!$M8)))-EXP(-EXP(-(Introduction!F$33+Introduction!F$34*Models!$M7))))/5))</f>
        <v>#DIV/0!</v>
      </c>
      <c r="K27" s="15" t="s">
        <v>5</v>
      </c>
      <c r="L27" s="6" t="e">
        <f t="shared" si="6"/>
        <v>#DIV/0!</v>
      </c>
      <c r="M27" s="6" t="e">
        <f t="shared" si="6"/>
        <v>#DIV/0!</v>
      </c>
      <c r="N27" s="6" t="e">
        <f t="shared" si="6"/>
        <v>#DIV/0!</v>
      </c>
      <c r="O27" s="6" t="e">
        <f t="shared" si="6"/>
        <v>#DIV/0!</v>
      </c>
      <c r="P27" s="6" t="e">
        <f t="shared" si="6"/>
        <v>#DIV/0!</v>
      </c>
      <c r="Q27" s="6" t="e">
        <f t="shared" si="6"/>
        <v>#DIV/0!</v>
      </c>
      <c r="R27" s="6" t="e">
        <f t="shared" si="6"/>
        <v>#DIV/0!</v>
      </c>
      <c r="S27" s="6" t="e">
        <f t="shared" si="6"/>
        <v>#DIV/0!</v>
      </c>
      <c r="T27" s="6" t="e">
        <f t="shared" si="6"/>
        <v>#DIV/0!</v>
      </c>
      <c r="U27" s="6" t="e">
        <f t="shared" si="6"/>
        <v>#DIV/0!</v>
      </c>
      <c r="V27" s="6" t="e">
        <f t="shared" si="6"/>
        <v>#DIV/0!</v>
      </c>
      <c r="W27" s="6" t="e">
        <f t="shared" si="6"/>
        <v>#DIV/0!</v>
      </c>
      <c r="X27" s="6" t="e">
        <f t="shared" si="6"/>
        <v>#DIV/0!</v>
      </c>
      <c r="Y27" s="6" t="e">
        <f t="shared" si="6"/>
        <v>#DIV/0!</v>
      </c>
      <c r="Z27" s="6" t="e">
        <f t="shared" si="6"/>
        <v>#DIV/0!</v>
      </c>
    </row>
    <row r="28" spans="1:38" ht="18.75" customHeight="1" x14ac:dyDescent="0.2">
      <c r="B28" s="6"/>
      <c r="C28" s="6"/>
      <c r="D28" s="6"/>
      <c r="F28" s="43" t="s">
        <v>6</v>
      </c>
      <c r="G28" s="6" t="e">
        <f>IF(Models!$D$39=1,Introduction!E39/SUM(Introduction!E$33:E$40)/5,(EXP(-EXP(-(Introduction!E$33+Introduction!E$34*Models!$M9)))-EXP(-EXP(-(Introduction!E$33+Introduction!E$34*Models!$M8))))/5)</f>
        <v>#DIV/0!</v>
      </c>
      <c r="H28" s="6" t="e">
        <f>IF(Models!$D$43=1,G28,IF(Models!$D$39=1,Introduction!F39/SUM(Introduction!F$33:F$40)/5,(EXP(-EXP(-(Introduction!F$33+Introduction!F$34*Models!$M9)))-EXP(-EXP(-(Introduction!F$33+Introduction!F$34*Models!$M8))))/5))</f>
        <v>#DIV/0!</v>
      </c>
      <c r="K28" s="15" t="s">
        <v>6</v>
      </c>
      <c r="L28" s="6" t="e">
        <f t="shared" si="6"/>
        <v>#DIV/0!</v>
      </c>
      <c r="M28" s="6" t="e">
        <f t="shared" si="6"/>
        <v>#DIV/0!</v>
      </c>
      <c r="N28" s="6" t="e">
        <f t="shared" si="6"/>
        <v>#DIV/0!</v>
      </c>
      <c r="O28" s="6" t="e">
        <f t="shared" si="6"/>
        <v>#DIV/0!</v>
      </c>
      <c r="P28" s="6" t="e">
        <f t="shared" si="6"/>
        <v>#DIV/0!</v>
      </c>
      <c r="Q28" s="6" t="e">
        <f t="shared" si="6"/>
        <v>#DIV/0!</v>
      </c>
      <c r="R28" s="6" t="e">
        <f t="shared" si="6"/>
        <v>#DIV/0!</v>
      </c>
      <c r="S28" s="6" t="e">
        <f t="shared" si="6"/>
        <v>#DIV/0!</v>
      </c>
      <c r="T28" s="6" t="e">
        <f t="shared" si="6"/>
        <v>#DIV/0!</v>
      </c>
      <c r="U28" s="6" t="e">
        <f t="shared" si="6"/>
        <v>#DIV/0!</v>
      </c>
      <c r="V28" s="6" t="e">
        <f t="shared" si="6"/>
        <v>#DIV/0!</v>
      </c>
      <c r="W28" s="6" t="e">
        <f t="shared" si="6"/>
        <v>#DIV/0!</v>
      </c>
      <c r="X28" s="6" t="e">
        <f t="shared" si="6"/>
        <v>#DIV/0!</v>
      </c>
      <c r="Y28" s="6" t="e">
        <f t="shared" si="6"/>
        <v>#DIV/0!</v>
      </c>
      <c r="Z28" s="6" t="e">
        <f t="shared" si="6"/>
        <v>#DIV/0!</v>
      </c>
    </row>
    <row r="29" spans="1:38" ht="18.75" customHeight="1" x14ac:dyDescent="0.2">
      <c r="F29" s="90" t="s">
        <v>7</v>
      </c>
      <c r="G29" s="57" t="e">
        <f>IF(Models!$D$39=1,Introduction!E40/SUM(Introduction!E$33:E$40)/5,(EXP(-EXP(-(Introduction!E$33+Introduction!E$34*Models!$M10)))-EXP(-EXP(-(Introduction!E$33+Introduction!E$34*Models!$M9))))/5)</f>
        <v>#DIV/0!</v>
      </c>
      <c r="H29" s="57" t="e">
        <f>IF(Models!$D$43=1,G29,IF(Models!$D$39=1,Introduction!F40/SUM(Introduction!F$33:F$40)/5,(EXP(-EXP(-(Introduction!F$33+Introduction!F$34*Models!$M10)))-EXP(-EXP(-(Introduction!F$33+Introduction!F$34*Models!$M9))))/5))</f>
        <v>#DIV/0!</v>
      </c>
      <c r="K29" s="105" t="s">
        <v>7</v>
      </c>
      <c r="L29" s="57" t="e">
        <f t="shared" si="6"/>
        <v>#DIV/0!</v>
      </c>
      <c r="M29" s="57" t="e">
        <f t="shared" si="6"/>
        <v>#DIV/0!</v>
      </c>
      <c r="N29" s="57" t="e">
        <f t="shared" si="6"/>
        <v>#DIV/0!</v>
      </c>
      <c r="O29" s="57" t="e">
        <f t="shared" si="6"/>
        <v>#DIV/0!</v>
      </c>
      <c r="P29" s="57" t="e">
        <f t="shared" si="6"/>
        <v>#DIV/0!</v>
      </c>
      <c r="Q29" s="57" t="e">
        <f t="shared" si="6"/>
        <v>#DIV/0!</v>
      </c>
      <c r="R29" s="57" t="e">
        <f t="shared" si="6"/>
        <v>#DIV/0!</v>
      </c>
      <c r="S29" s="57" t="e">
        <f t="shared" si="6"/>
        <v>#DIV/0!</v>
      </c>
      <c r="T29" s="57" t="e">
        <f t="shared" si="6"/>
        <v>#DIV/0!</v>
      </c>
      <c r="U29" s="57" t="e">
        <f t="shared" si="6"/>
        <v>#DIV/0!</v>
      </c>
      <c r="V29" s="57" t="e">
        <f t="shared" si="6"/>
        <v>#DIV/0!</v>
      </c>
      <c r="W29" s="57" t="e">
        <f t="shared" si="6"/>
        <v>#DIV/0!</v>
      </c>
      <c r="X29" s="57" t="e">
        <f t="shared" si="6"/>
        <v>#DIV/0!</v>
      </c>
      <c r="Y29" s="57" t="e">
        <f t="shared" si="6"/>
        <v>#DIV/0!</v>
      </c>
      <c r="Z29" s="57" t="e">
        <f t="shared" si="6"/>
        <v>#DIV/0!</v>
      </c>
    </row>
    <row r="30" spans="1:38" ht="18.75" customHeight="1" x14ac:dyDescent="0.2">
      <c r="H30" s="8"/>
      <c r="K30" s="1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38" ht="18.75" customHeight="1" x14ac:dyDescent="0.3">
      <c r="A31" s="170" t="s">
        <v>58</v>
      </c>
      <c r="B31" s="165"/>
      <c r="C31" s="165"/>
      <c r="D31" s="165"/>
      <c r="F31" s="167" t="s">
        <v>60</v>
      </c>
      <c r="G31" s="167"/>
      <c r="H31" s="167"/>
      <c r="I31" s="167"/>
      <c r="J31" s="44"/>
      <c r="K31" s="30" t="s">
        <v>56</v>
      </c>
      <c r="L31" s="30"/>
      <c r="M31" s="30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</row>
    <row r="32" spans="1:38" ht="18.75" customHeight="1" x14ac:dyDescent="0.3">
      <c r="A32" s="16" t="s">
        <v>15</v>
      </c>
      <c r="B32" s="16" t="s">
        <v>18</v>
      </c>
      <c r="C32" s="16" t="s">
        <v>19</v>
      </c>
      <c r="D32" s="16" t="s">
        <v>20</v>
      </c>
      <c r="E32" s="104"/>
      <c r="F32" s="31">
        <f>Models!C29</f>
        <v>2008.4344262295083</v>
      </c>
      <c r="G32" s="31">
        <f>Models!C29-5</f>
        <v>2003.4344262295083</v>
      </c>
      <c r="H32" s="31">
        <f>G32-5</f>
        <v>1998.4344262295083</v>
      </c>
      <c r="I32" s="31">
        <f>H32-5</f>
        <v>1993.4344262295083</v>
      </c>
      <c r="J32" s="31"/>
      <c r="K32" s="55" t="s">
        <v>55</v>
      </c>
      <c r="L32" s="31">
        <f t="shared" ref="L32:Y32" si="7">L21</f>
        <v>2007.9344262295083</v>
      </c>
      <c r="M32" s="31">
        <f t="shared" si="7"/>
        <v>2006.9344262295083</v>
      </c>
      <c r="N32" s="31">
        <f t="shared" si="7"/>
        <v>2005.9344262295083</v>
      </c>
      <c r="O32" s="31">
        <f t="shared" si="7"/>
        <v>2004.9344262295083</v>
      </c>
      <c r="P32" s="31">
        <f t="shared" si="7"/>
        <v>2003.9344262295083</v>
      </c>
      <c r="Q32" s="31">
        <f t="shared" si="7"/>
        <v>2002.9344262295083</v>
      </c>
      <c r="R32" s="31">
        <f t="shared" si="7"/>
        <v>2001.9344262295083</v>
      </c>
      <c r="S32" s="31">
        <f t="shared" si="7"/>
        <v>2000.9344262295083</v>
      </c>
      <c r="T32" s="31">
        <f t="shared" si="7"/>
        <v>1999.9344262295083</v>
      </c>
      <c r="U32" s="31">
        <f t="shared" si="7"/>
        <v>1998.9344262295083</v>
      </c>
      <c r="V32" s="31">
        <f t="shared" si="7"/>
        <v>1997.9344262295083</v>
      </c>
      <c r="W32" s="31">
        <f t="shared" si="7"/>
        <v>1996.9344262295083</v>
      </c>
      <c r="X32" s="31">
        <f t="shared" si="7"/>
        <v>1995.9344262295083</v>
      </c>
      <c r="Y32" s="31">
        <f t="shared" si="7"/>
        <v>1994.9344262295083</v>
      </c>
      <c r="Z32" s="31">
        <f>$G32+(Z$21-$G$32)*($F32-$G32)/($F$32-$G$32)</f>
        <v>1993.9344262295083</v>
      </c>
    </row>
    <row r="33" spans="1:26" ht="18.75" customHeight="1" x14ac:dyDescent="0.2">
      <c r="A33" s="102" t="s">
        <v>20</v>
      </c>
      <c r="B33" s="6">
        <f>(1+EXP(2*Introduction!D$24+Introduction!D$25*(Models!$I15+Models!$I16)))/(1+EXP(2*Introduction!D$24+Introduction!D$25*(Models!$I16+Models!$I17)))</f>
        <v>0.98763352494420653</v>
      </c>
      <c r="C33" s="6">
        <f>(1+EXP(2*Introduction!E$24+Introduction!E$25*(Models!$I15+Models!$I16)))/(1+EXP(2*Introduction!E$24+Introduction!E$25*(Models!$I16+Models!$I17)))</f>
        <v>0.98554968132959908</v>
      </c>
      <c r="D33" s="6">
        <f>(1+EXP(2*Introduction!F$24+Introduction!F$25*(Models!$I15+Models!$I16)))/(1+EXP(2*Introduction!F$24+Introduction!F$25*(Models!$I16+Models!$I17)))</f>
        <v>0.98683277516880841</v>
      </c>
      <c r="F33" s="23">
        <f t="shared" ref="F33:F43" si="8">D3</f>
        <v>0</v>
      </c>
      <c r="G33" s="23">
        <f t="shared" ref="G33:I40" si="9">F34/B33</f>
        <v>0</v>
      </c>
      <c r="H33" s="23">
        <f t="shared" si="9"/>
        <v>0</v>
      </c>
      <c r="I33" s="23">
        <f t="shared" si="9"/>
        <v>0</v>
      </c>
      <c r="J33" s="23"/>
      <c r="K33" s="15" t="s">
        <v>20</v>
      </c>
      <c r="L33" s="23">
        <f>IF(AND(L$32&lt;$F$32,L$32&gt;$G$32),$G33+(L$32-$G$32)*($F33-$G33)/($F$32-$G$32),IF(AND(L$32&lt;$G$32,L$32&gt;$H$32),$H33+(L$32-$H$32)*($G33-$H33)/($G$32-$H$32),$I33+(L$32-$I$32)*($H33-$I33)/($H$32-$I$32)))</f>
        <v>0</v>
      </c>
      <c r="M33" s="23">
        <f t="shared" ref="L33:Z40" si="10">IF(AND(M$32&lt;$F$32,M$32&gt;$G$32),$G33+(M$32-$G$32)*($F33-$G33)/($F$32-$G$32),IF(AND(M$32&lt;$G$32,M$32&gt;$H$32),$H33+(M$32-$H$32)*($G33-$H33)/($G$32-$H$32),$I33+(M$32-$I$32)*($H33-$I33)/($H$32-$I$32)))</f>
        <v>0</v>
      </c>
      <c r="N33" s="23">
        <f t="shared" si="10"/>
        <v>0</v>
      </c>
      <c r="O33" s="23">
        <f t="shared" si="10"/>
        <v>0</v>
      </c>
      <c r="P33" s="23">
        <f t="shared" si="10"/>
        <v>0</v>
      </c>
      <c r="Q33" s="23">
        <f t="shared" si="10"/>
        <v>0</v>
      </c>
      <c r="R33" s="23">
        <f t="shared" si="10"/>
        <v>0</v>
      </c>
      <c r="S33" s="23">
        <f t="shared" si="10"/>
        <v>0</v>
      </c>
      <c r="T33" s="23">
        <f t="shared" si="10"/>
        <v>0</v>
      </c>
      <c r="U33" s="23">
        <f t="shared" si="10"/>
        <v>0</v>
      </c>
      <c r="V33" s="23">
        <f t="shared" si="10"/>
        <v>0</v>
      </c>
      <c r="W33" s="23">
        <f t="shared" si="10"/>
        <v>0</v>
      </c>
      <c r="X33" s="23">
        <f t="shared" si="10"/>
        <v>0</v>
      </c>
      <c r="Y33" s="23">
        <f t="shared" si="10"/>
        <v>0</v>
      </c>
      <c r="Z33" s="23">
        <f t="shared" si="10"/>
        <v>0</v>
      </c>
    </row>
    <row r="34" spans="1:26" ht="18.75" customHeight="1" x14ac:dyDescent="0.2">
      <c r="A34" s="102" t="s">
        <v>1</v>
      </c>
      <c r="B34" s="6">
        <f>(1+EXP(2*Introduction!D$24+Introduction!D$25*(Models!$I16+Models!$I17)))/(1+EXP(2*Introduction!D$24+Introduction!D$25*(Models!$I17+Models!$I18)))</f>
        <v>0.98496262393377176</v>
      </c>
      <c r="C34" s="6">
        <f>(1+EXP(2*Introduction!E$24+Introduction!E$25*(Models!$I16+Models!$I17)))/(1+EXP(2*Introduction!E$24+Introduction!E$25*(Models!$I17+Models!$I18)))</f>
        <v>0.98252567822534431</v>
      </c>
      <c r="D34" s="6">
        <f>(1+EXP(2*Introduction!F$24+Introduction!F$25*(Models!$I16+Models!$I17)))/(1+EXP(2*Introduction!F$24+Introduction!F$25*(Models!$I17+Models!$I18)))</f>
        <v>0.9842091152715039</v>
      </c>
      <c r="F34" s="23">
        <f t="shared" si="8"/>
        <v>0</v>
      </c>
      <c r="G34" s="23">
        <f t="shared" si="9"/>
        <v>0</v>
      </c>
      <c r="H34" s="23">
        <f t="shared" si="9"/>
        <v>0</v>
      </c>
      <c r="I34" s="23">
        <f t="shared" si="9"/>
        <v>0</v>
      </c>
      <c r="J34" s="23"/>
      <c r="K34" s="15" t="s">
        <v>1</v>
      </c>
      <c r="L34" s="23">
        <f t="shared" si="10"/>
        <v>0</v>
      </c>
      <c r="M34" s="23">
        <f t="shared" si="10"/>
        <v>0</v>
      </c>
      <c r="N34" s="23">
        <f t="shared" si="10"/>
        <v>0</v>
      </c>
      <c r="O34" s="23">
        <f t="shared" si="10"/>
        <v>0</v>
      </c>
      <c r="P34" s="23">
        <f t="shared" si="10"/>
        <v>0</v>
      </c>
      <c r="Q34" s="23">
        <f t="shared" si="10"/>
        <v>0</v>
      </c>
      <c r="R34" s="23">
        <f t="shared" si="10"/>
        <v>0</v>
      </c>
      <c r="S34" s="23">
        <f t="shared" si="10"/>
        <v>0</v>
      </c>
      <c r="T34" s="23">
        <f t="shared" si="10"/>
        <v>0</v>
      </c>
      <c r="U34" s="23">
        <f t="shared" si="10"/>
        <v>0</v>
      </c>
      <c r="V34" s="23">
        <f t="shared" si="10"/>
        <v>0</v>
      </c>
      <c r="W34" s="23">
        <f t="shared" si="10"/>
        <v>0</v>
      </c>
      <c r="X34" s="23">
        <f t="shared" si="10"/>
        <v>0</v>
      </c>
      <c r="Y34" s="23">
        <f t="shared" si="10"/>
        <v>0</v>
      </c>
      <c r="Z34" s="23">
        <f t="shared" si="10"/>
        <v>0</v>
      </c>
    </row>
    <row r="35" spans="1:26" ht="18.75" customHeight="1" x14ac:dyDescent="0.2">
      <c r="A35" s="102" t="s">
        <v>2</v>
      </c>
      <c r="B35" s="6">
        <f>(1+EXP(2*Introduction!D$24+Introduction!D$25*(Models!$I17+Models!$I18)))/(1+EXP(2*Introduction!D$24+Introduction!D$25*(Models!$I18+Models!$I19)))</f>
        <v>0.98197497061233918</v>
      </c>
      <c r="C35" s="6">
        <f>(1+EXP(2*Introduction!E$24+Introduction!E$25*(Models!$I17+Models!$I18)))/(1+EXP(2*Introduction!E$24+Introduction!E$25*(Models!$I18+Models!$I19)))</f>
        <v>0.97918385898093308</v>
      </c>
      <c r="D35" s="6">
        <f>(1+EXP(2*Introduction!F$24+Introduction!F$25*(Models!$I17+Models!$I18)))/(1+EXP(2*Introduction!F$24+Introduction!F$25*(Models!$I18+Models!$I19)))</f>
        <v>0.98135538455854487</v>
      </c>
      <c r="F35" s="23">
        <f t="shared" si="8"/>
        <v>0</v>
      </c>
      <c r="G35" s="23">
        <f t="shared" si="9"/>
        <v>0</v>
      </c>
      <c r="H35" s="23">
        <f t="shared" si="9"/>
        <v>0</v>
      </c>
      <c r="I35" s="23">
        <f t="shared" si="9"/>
        <v>0</v>
      </c>
      <c r="J35" s="23"/>
      <c r="K35" s="15" t="s">
        <v>2</v>
      </c>
      <c r="L35" s="23">
        <f t="shared" si="10"/>
        <v>0</v>
      </c>
      <c r="M35" s="23">
        <f t="shared" si="10"/>
        <v>0</v>
      </c>
      <c r="N35" s="23">
        <f t="shared" si="10"/>
        <v>0</v>
      </c>
      <c r="O35" s="23">
        <f t="shared" si="10"/>
        <v>0</v>
      </c>
      <c r="P35" s="23">
        <f t="shared" si="10"/>
        <v>0</v>
      </c>
      <c r="Q35" s="23">
        <f t="shared" si="10"/>
        <v>0</v>
      </c>
      <c r="R35" s="23">
        <f t="shared" si="10"/>
        <v>0</v>
      </c>
      <c r="S35" s="23">
        <f t="shared" si="10"/>
        <v>0</v>
      </c>
      <c r="T35" s="23">
        <f t="shared" si="10"/>
        <v>0</v>
      </c>
      <c r="U35" s="23">
        <f t="shared" si="10"/>
        <v>0</v>
      </c>
      <c r="V35" s="23">
        <f t="shared" si="10"/>
        <v>0</v>
      </c>
      <c r="W35" s="23">
        <f t="shared" si="10"/>
        <v>0</v>
      </c>
      <c r="X35" s="23">
        <f t="shared" si="10"/>
        <v>0</v>
      </c>
      <c r="Y35" s="23">
        <f t="shared" si="10"/>
        <v>0</v>
      </c>
      <c r="Z35" s="23">
        <f t="shared" si="10"/>
        <v>0</v>
      </c>
    </row>
    <row r="36" spans="1:26" ht="18.75" customHeight="1" x14ac:dyDescent="0.2">
      <c r="A36" s="102" t="s">
        <v>3</v>
      </c>
      <c r="B36" s="6">
        <f>(1+EXP(2*Introduction!D$24+Introduction!D$25*(Models!$I18+Models!$I19)))/(1+EXP(2*Introduction!D$24+Introduction!D$25*(Models!$I19+Models!$I20)))</f>
        <v>0.9792786519973703</v>
      </c>
      <c r="C36" s="6">
        <f>(1+EXP(2*Introduction!E$24+Introduction!E$25*(Models!$I18+Models!$I19)))/(1+EXP(2*Introduction!E$24+Introduction!E$25*(Models!$I19+Models!$I20)))</f>
        <v>0.97623045661539209</v>
      </c>
      <c r="D36" s="6">
        <f>(1+EXP(2*Introduction!F$24+Introduction!F$25*(Models!$I18+Models!$I19)))/(1+EXP(2*Introduction!F$24+Introduction!F$25*(Models!$I19+Models!$I20)))</f>
        <v>0.97890306536262661</v>
      </c>
      <c r="F36" s="23">
        <f t="shared" si="8"/>
        <v>0</v>
      </c>
      <c r="G36" s="23">
        <f t="shared" si="9"/>
        <v>0</v>
      </c>
      <c r="H36" s="23">
        <f t="shared" si="9"/>
        <v>0</v>
      </c>
      <c r="I36" s="23">
        <f t="shared" si="9"/>
        <v>0</v>
      </c>
      <c r="J36" s="23"/>
      <c r="K36" s="15" t="s">
        <v>3</v>
      </c>
      <c r="L36" s="23">
        <f t="shared" si="10"/>
        <v>0</v>
      </c>
      <c r="M36" s="23">
        <f t="shared" si="10"/>
        <v>0</v>
      </c>
      <c r="N36" s="23">
        <f t="shared" si="10"/>
        <v>0</v>
      </c>
      <c r="O36" s="23">
        <f t="shared" si="10"/>
        <v>0</v>
      </c>
      <c r="P36" s="23">
        <f t="shared" si="10"/>
        <v>0</v>
      </c>
      <c r="Q36" s="23">
        <f t="shared" si="10"/>
        <v>0</v>
      </c>
      <c r="R36" s="23">
        <f t="shared" si="10"/>
        <v>0</v>
      </c>
      <c r="S36" s="23">
        <f t="shared" si="10"/>
        <v>0</v>
      </c>
      <c r="T36" s="23">
        <f t="shared" si="10"/>
        <v>0</v>
      </c>
      <c r="U36" s="23">
        <f t="shared" si="10"/>
        <v>0</v>
      </c>
      <c r="V36" s="23">
        <f t="shared" si="10"/>
        <v>0</v>
      </c>
      <c r="W36" s="23">
        <f t="shared" si="10"/>
        <v>0</v>
      </c>
      <c r="X36" s="23">
        <f t="shared" si="10"/>
        <v>0</v>
      </c>
      <c r="Y36" s="23">
        <f t="shared" si="10"/>
        <v>0</v>
      </c>
      <c r="Z36" s="23">
        <f t="shared" si="10"/>
        <v>0</v>
      </c>
    </row>
    <row r="37" spans="1:26" ht="18.75" customHeight="1" x14ac:dyDescent="0.2">
      <c r="A37" s="102" t="s">
        <v>4</v>
      </c>
      <c r="B37" s="6">
        <f>(1+EXP(2*Introduction!D$24+Introduction!D$25*(Models!$I19+Models!$I20)))/(1+EXP(2*Introduction!D$24+Introduction!D$25*(Models!$I20+Models!$I21)))</f>
        <v>0.9763660617256954</v>
      </c>
      <c r="C37" s="6">
        <f>(1+EXP(2*Introduction!E$24+Introduction!E$25*(Models!$I19+Models!$I20)))/(1+EXP(2*Introduction!E$24+Introduction!E$25*(Models!$I20+Models!$I21)))</f>
        <v>0.97308180793425914</v>
      </c>
      <c r="D37" s="6">
        <f>(1+EXP(2*Introduction!F$24+Introduction!F$25*(Models!$I19+Models!$I20)))/(1+EXP(2*Introduction!F$24+Introduction!F$25*(Models!$I20+Models!$I21)))</f>
        <v>0.976322169400764</v>
      </c>
      <c r="F37" s="23">
        <f t="shared" si="8"/>
        <v>0</v>
      </c>
      <c r="G37" s="23">
        <f t="shared" si="9"/>
        <v>0</v>
      </c>
      <c r="H37" s="23">
        <f t="shared" si="9"/>
        <v>0</v>
      </c>
      <c r="I37" s="23">
        <f t="shared" si="9"/>
        <v>0</v>
      </c>
      <c r="J37" s="23"/>
      <c r="K37" s="15" t="s">
        <v>4</v>
      </c>
      <c r="L37" s="23">
        <f t="shared" si="10"/>
        <v>0</v>
      </c>
      <c r="M37" s="23">
        <f t="shared" si="10"/>
        <v>0</v>
      </c>
      <c r="N37" s="23">
        <f t="shared" si="10"/>
        <v>0</v>
      </c>
      <c r="O37" s="23">
        <f t="shared" si="10"/>
        <v>0</v>
      </c>
      <c r="P37" s="23">
        <f t="shared" si="10"/>
        <v>0</v>
      </c>
      <c r="Q37" s="23">
        <f t="shared" si="10"/>
        <v>0</v>
      </c>
      <c r="R37" s="23">
        <f t="shared" si="10"/>
        <v>0</v>
      </c>
      <c r="S37" s="23">
        <f t="shared" si="10"/>
        <v>0</v>
      </c>
      <c r="T37" s="23">
        <f t="shared" si="10"/>
        <v>0</v>
      </c>
      <c r="U37" s="23">
        <f t="shared" si="10"/>
        <v>0</v>
      </c>
      <c r="V37" s="23">
        <f t="shared" si="10"/>
        <v>0</v>
      </c>
      <c r="W37" s="23">
        <f t="shared" si="10"/>
        <v>0</v>
      </c>
      <c r="X37" s="23">
        <f t="shared" si="10"/>
        <v>0</v>
      </c>
      <c r="Y37" s="23">
        <f t="shared" si="10"/>
        <v>0</v>
      </c>
      <c r="Z37" s="23">
        <f t="shared" si="10"/>
        <v>0</v>
      </c>
    </row>
    <row r="38" spans="1:26" ht="18.75" customHeight="1" x14ac:dyDescent="0.2">
      <c r="A38" s="102" t="s">
        <v>5</v>
      </c>
      <c r="B38" s="6">
        <f>(1+EXP(2*Introduction!D$24+Introduction!D$25*(Models!$I20+Models!$I21)))/(1+EXP(2*Introduction!D$24+Introduction!D$25*(Models!$I21+Models!$I22)))</f>
        <v>0.97208128025527374</v>
      </c>
      <c r="C38" s="6">
        <f>(1+EXP(2*Introduction!E$24+Introduction!E$25*(Models!$I20+Models!$I21)))/(1+EXP(2*Introduction!E$24+Introduction!E$25*(Models!$I21+Models!$I22)))</f>
        <v>0.96844552105988579</v>
      </c>
      <c r="D38" s="6">
        <f>(1+EXP(2*Introduction!F$24+Introduction!F$25*(Models!$I20+Models!$I21)))/(1+EXP(2*Introduction!F$24+Introduction!F$25*(Models!$I21+Models!$I22)))</f>
        <v>0.97248726388882067</v>
      </c>
      <c r="F38" s="23">
        <f t="shared" si="8"/>
        <v>0</v>
      </c>
      <c r="G38" s="23">
        <f t="shared" si="9"/>
        <v>0</v>
      </c>
      <c r="H38" s="23">
        <f t="shared" si="9"/>
        <v>0</v>
      </c>
      <c r="I38" s="23">
        <f t="shared" si="9"/>
        <v>0</v>
      </c>
      <c r="J38" s="23"/>
      <c r="K38" s="15" t="s">
        <v>5</v>
      </c>
      <c r="L38" s="23">
        <f t="shared" si="10"/>
        <v>0</v>
      </c>
      <c r="M38" s="23">
        <f t="shared" si="10"/>
        <v>0</v>
      </c>
      <c r="N38" s="23">
        <f t="shared" si="10"/>
        <v>0</v>
      </c>
      <c r="O38" s="23">
        <f t="shared" si="10"/>
        <v>0</v>
      </c>
      <c r="P38" s="23">
        <f t="shared" si="10"/>
        <v>0</v>
      </c>
      <c r="Q38" s="23">
        <f t="shared" si="10"/>
        <v>0</v>
      </c>
      <c r="R38" s="23">
        <f t="shared" si="10"/>
        <v>0</v>
      </c>
      <c r="S38" s="23">
        <f t="shared" si="10"/>
        <v>0</v>
      </c>
      <c r="T38" s="23">
        <f t="shared" si="10"/>
        <v>0</v>
      </c>
      <c r="U38" s="23">
        <f t="shared" si="10"/>
        <v>0</v>
      </c>
      <c r="V38" s="23">
        <f t="shared" si="10"/>
        <v>0</v>
      </c>
      <c r="W38" s="23">
        <f t="shared" si="10"/>
        <v>0</v>
      </c>
      <c r="X38" s="23">
        <f t="shared" si="10"/>
        <v>0</v>
      </c>
      <c r="Y38" s="23">
        <f t="shared" si="10"/>
        <v>0</v>
      </c>
      <c r="Z38" s="23">
        <f t="shared" si="10"/>
        <v>0</v>
      </c>
    </row>
    <row r="39" spans="1:26" ht="18.75" customHeight="1" x14ac:dyDescent="0.2">
      <c r="A39" s="102" t="s">
        <v>6</v>
      </c>
      <c r="B39" s="6">
        <f>(1+EXP(2*Introduction!D$24+Introduction!D$25*(Models!$I21+Models!$I22)))/(1+EXP(2*Introduction!D$24+Introduction!D$25*(Models!$I22+Models!$I23)))</f>
        <v>0.96702909770401191</v>
      </c>
      <c r="C39" s="6">
        <f>(1+EXP(2*Introduction!E$24+Introduction!E$25*(Models!$I21+Models!$I22)))/(1+EXP(2*Introduction!E$24+Introduction!E$25*(Models!$I22+Models!$I23)))</f>
        <v>0.96304525368307137</v>
      </c>
      <c r="D39" s="6">
        <f>(1+EXP(2*Introduction!F$24+Introduction!F$25*(Models!$I21+Models!$I22)))/(1+EXP(2*Introduction!F$24+Introduction!F$25*(Models!$I22+Models!$I23)))</f>
        <v>0.96805644595831508</v>
      </c>
      <c r="F39" s="23">
        <f t="shared" si="8"/>
        <v>0</v>
      </c>
      <c r="G39" s="23">
        <f t="shared" si="9"/>
        <v>0</v>
      </c>
      <c r="H39" s="23">
        <f t="shared" si="9"/>
        <v>0</v>
      </c>
      <c r="I39" s="23">
        <f t="shared" si="9"/>
        <v>0</v>
      </c>
      <c r="J39" s="23"/>
      <c r="K39" s="15" t="s">
        <v>6</v>
      </c>
      <c r="L39" s="23">
        <f t="shared" si="10"/>
        <v>0</v>
      </c>
      <c r="M39" s="23">
        <f t="shared" si="10"/>
        <v>0</v>
      </c>
      <c r="N39" s="23">
        <f t="shared" si="10"/>
        <v>0</v>
      </c>
      <c r="O39" s="23">
        <f t="shared" si="10"/>
        <v>0</v>
      </c>
      <c r="P39" s="23">
        <f t="shared" si="10"/>
        <v>0</v>
      </c>
      <c r="Q39" s="23">
        <f t="shared" si="10"/>
        <v>0</v>
      </c>
      <c r="R39" s="23">
        <f t="shared" si="10"/>
        <v>0</v>
      </c>
      <c r="S39" s="23">
        <f t="shared" si="10"/>
        <v>0</v>
      </c>
      <c r="T39" s="23">
        <f t="shared" si="10"/>
        <v>0</v>
      </c>
      <c r="U39" s="23">
        <f t="shared" si="10"/>
        <v>0</v>
      </c>
      <c r="V39" s="23">
        <f t="shared" si="10"/>
        <v>0</v>
      </c>
      <c r="W39" s="23">
        <f t="shared" si="10"/>
        <v>0</v>
      </c>
      <c r="X39" s="23">
        <f t="shared" si="10"/>
        <v>0</v>
      </c>
      <c r="Y39" s="23">
        <f t="shared" si="10"/>
        <v>0</v>
      </c>
      <c r="Z39" s="23">
        <f t="shared" si="10"/>
        <v>0</v>
      </c>
    </row>
    <row r="40" spans="1:26" ht="18.75" customHeight="1" x14ac:dyDescent="0.2">
      <c r="A40" s="102" t="s">
        <v>7</v>
      </c>
      <c r="B40" s="6">
        <f>(1+EXP(2*Introduction!D$24+Introduction!D$25*(Models!$I22+Models!$I23)))/(1+EXP(2*Introduction!D$24+Introduction!D$25*(Models!$I23+Models!$I24)))</f>
        <v>0.95885888996348878</v>
      </c>
      <c r="C40" s="6">
        <f>(1+EXP(2*Introduction!E$24+Introduction!E$25*(Models!$I22+Models!$I23)))/(1+EXP(2*Introduction!E$24+Introduction!E$25*(Models!$I23+Models!$I24)))</f>
        <v>0.95431803578039165</v>
      </c>
      <c r="D40" s="6">
        <f>(1+EXP(2*Introduction!F$24+Introduction!F$25*(Models!$I22+Models!$I23)))/(1+EXP(2*Introduction!F$24+Introduction!F$25*(Models!$I23+Models!$I24)))</f>
        <v>0.96084145088696715</v>
      </c>
      <c r="F40" s="23">
        <f t="shared" si="8"/>
        <v>0</v>
      </c>
      <c r="G40" s="23">
        <f t="shared" si="9"/>
        <v>0</v>
      </c>
      <c r="H40" s="23">
        <f t="shared" si="9"/>
        <v>0</v>
      </c>
      <c r="I40" s="23">
        <f t="shared" si="9"/>
        <v>0</v>
      </c>
      <c r="J40" s="23"/>
      <c r="K40" s="15" t="s">
        <v>7</v>
      </c>
      <c r="L40" s="23">
        <f t="shared" si="10"/>
        <v>0</v>
      </c>
      <c r="M40" s="23">
        <f t="shared" si="10"/>
        <v>0</v>
      </c>
      <c r="N40" s="23">
        <f t="shared" si="10"/>
        <v>0</v>
      </c>
      <c r="O40" s="23">
        <f t="shared" si="10"/>
        <v>0</v>
      </c>
      <c r="P40" s="23">
        <f t="shared" si="10"/>
        <v>0</v>
      </c>
      <c r="Q40" s="23">
        <f t="shared" si="10"/>
        <v>0</v>
      </c>
      <c r="R40" s="23">
        <f t="shared" si="10"/>
        <v>0</v>
      </c>
      <c r="S40" s="23">
        <f t="shared" si="10"/>
        <v>0</v>
      </c>
      <c r="T40" s="23">
        <f t="shared" si="10"/>
        <v>0</v>
      </c>
      <c r="U40" s="23">
        <f t="shared" si="10"/>
        <v>0</v>
      </c>
      <c r="V40" s="23">
        <f t="shared" si="10"/>
        <v>0</v>
      </c>
      <c r="W40" s="23">
        <f t="shared" si="10"/>
        <v>0</v>
      </c>
      <c r="X40" s="23">
        <f t="shared" si="10"/>
        <v>0</v>
      </c>
      <c r="Y40" s="23">
        <f t="shared" si="10"/>
        <v>0</v>
      </c>
      <c r="Z40" s="23">
        <f t="shared" si="10"/>
        <v>0</v>
      </c>
    </row>
    <row r="41" spans="1:26" ht="18.75" customHeight="1" x14ac:dyDescent="0.2">
      <c r="A41" s="102" t="s">
        <v>21</v>
      </c>
      <c r="B41" s="6">
        <f>(1+EXP(2*Introduction!D$24+Introduction!D$25*(Models!$I23+Models!$I24)))/(1+EXP(2*Introduction!D$24+Introduction!D$25*(Models!$I24+Models!$I25)))</f>
        <v>0.94488687642379265</v>
      </c>
      <c r="C41" s="6">
        <f>(1+EXP(2*Introduction!E$24+Introduction!E$25*(Models!$I23+Models!$I24)))/(1+EXP(2*Introduction!E$24+Introduction!E$25*(Models!$I24+Models!$I25)))</f>
        <v>0.93948011290489319</v>
      </c>
      <c r="D41" s="6"/>
      <c r="F41" s="23">
        <f t="shared" si="8"/>
        <v>0</v>
      </c>
      <c r="G41" s="23">
        <f>F42/B41</f>
        <v>0</v>
      </c>
      <c r="H41" s="23">
        <f>G42/C41</f>
        <v>0</v>
      </c>
      <c r="I41" s="23"/>
      <c r="J41" s="23"/>
      <c r="K41" s="14" t="s">
        <v>8</v>
      </c>
      <c r="L41" s="23">
        <f t="array" ref="L41:Z41">TRANSPOSE(L3:L17)</f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23">
        <v>0</v>
      </c>
      <c r="W41" s="23">
        <v>0</v>
      </c>
      <c r="X41" s="23">
        <v>0</v>
      </c>
      <c r="Y41" s="23">
        <v>0</v>
      </c>
      <c r="Z41" s="23">
        <v>0</v>
      </c>
    </row>
    <row r="42" spans="1:26" ht="18.75" customHeight="1" x14ac:dyDescent="0.2">
      <c r="A42" s="103" t="s">
        <v>22</v>
      </c>
      <c r="B42" s="6">
        <f>(1+EXP(2*Introduction!D$24+Introduction!D$25*(Models!$I24+Models!$I25)))/(1+EXP(2*Introduction!D$24+Introduction!D$25*(Models!$I25+Models!$I26)))</f>
        <v>0.92130545640332329</v>
      </c>
      <c r="C42" s="6"/>
      <c r="D42" s="6"/>
      <c r="F42" s="23">
        <f t="shared" si="8"/>
        <v>0</v>
      </c>
      <c r="G42" s="23">
        <f>F43/B42</f>
        <v>0</v>
      </c>
      <c r="H42" s="23"/>
      <c r="I42" s="23"/>
      <c r="J42" s="23"/>
      <c r="K42" s="15" t="s">
        <v>37</v>
      </c>
      <c r="L42" s="5" t="e">
        <f t="shared" ref="L42:Z42" si="11">L41/SUMPRODUCT(L33:L40,L22:L29)</f>
        <v>#DIV/0!</v>
      </c>
      <c r="M42" s="5" t="e">
        <f t="shared" si="11"/>
        <v>#DIV/0!</v>
      </c>
      <c r="N42" s="5" t="e">
        <f t="shared" si="11"/>
        <v>#DIV/0!</v>
      </c>
      <c r="O42" s="5" t="e">
        <f t="shared" si="11"/>
        <v>#DIV/0!</v>
      </c>
      <c r="P42" s="5" t="e">
        <f t="shared" si="11"/>
        <v>#DIV/0!</v>
      </c>
      <c r="Q42" s="5" t="e">
        <f t="shared" si="11"/>
        <v>#DIV/0!</v>
      </c>
      <c r="R42" s="5" t="e">
        <f t="shared" si="11"/>
        <v>#DIV/0!</v>
      </c>
      <c r="S42" s="5" t="e">
        <f t="shared" si="11"/>
        <v>#DIV/0!</v>
      </c>
      <c r="T42" s="5" t="e">
        <f t="shared" si="11"/>
        <v>#DIV/0!</v>
      </c>
      <c r="U42" s="5" t="e">
        <f t="shared" si="11"/>
        <v>#DIV/0!</v>
      </c>
      <c r="V42" s="5" t="e">
        <f t="shared" si="11"/>
        <v>#DIV/0!</v>
      </c>
      <c r="W42" s="5" t="e">
        <f t="shared" si="11"/>
        <v>#DIV/0!</v>
      </c>
      <c r="X42" s="5" t="e">
        <f t="shared" si="11"/>
        <v>#DIV/0!</v>
      </c>
      <c r="Y42" s="5" t="e">
        <f t="shared" si="11"/>
        <v>#DIV/0!</v>
      </c>
      <c r="Z42" s="5" t="e">
        <f t="shared" si="11"/>
        <v>#DIV/0!</v>
      </c>
    </row>
    <row r="43" spans="1:26" ht="18.75" customHeight="1" x14ac:dyDescent="0.2">
      <c r="A43" s="100" t="s">
        <v>23</v>
      </c>
      <c r="B43" s="51"/>
      <c r="C43" s="51"/>
      <c r="D43" s="51"/>
      <c r="E43" s="51"/>
      <c r="F43" s="54">
        <f t="shared" si="8"/>
        <v>0</v>
      </c>
      <c r="G43" s="54"/>
      <c r="H43" s="54"/>
      <c r="I43" s="51"/>
      <c r="J43" s="54"/>
      <c r="K43" s="105" t="s">
        <v>36</v>
      </c>
      <c r="L43" s="51" t="e">
        <f t="shared" ref="L43:Z43" si="12">1000*L41/SUM(L34:L40)</f>
        <v>#DIV/0!</v>
      </c>
      <c r="M43" s="51" t="e">
        <f t="shared" si="12"/>
        <v>#DIV/0!</v>
      </c>
      <c r="N43" s="51" t="e">
        <f t="shared" si="12"/>
        <v>#DIV/0!</v>
      </c>
      <c r="O43" s="51" t="e">
        <f t="shared" si="12"/>
        <v>#DIV/0!</v>
      </c>
      <c r="P43" s="51" t="e">
        <f t="shared" si="12"/>
        <v>#DIV/0!</v>
      </c>
      <c r="Q43" s="51" t="e">
        <f t="shared" si="12"/>
        <v>#DIV/0!</v>
      </c>
      <c r="R43" s="51" t="e">
        <f t="shared" si="12"/>
        <v>#DIV/0!</v>
      </c>
      <c r="S43" s="51" t="e">
        <f t="shared" si="12"/>
        <v>#DIV/0!</v>
      </c>
      <c r="T43" s="51" t="e">
        <f t="shared" si="12"/>
        <v>#DIV/0!</v>
      </c>
      <c r="U43" s="51" t="e">
        <f t="shared" si="12"/>
        <v>#DIV/0!</v>
      </c>
      <c r="V43" s="51" t="e">
        <f t="shared" si="12"/>
        <v>#DIV/0!</v>
      </c>
      <c r="W43" s="51" t="e">
        <f t="shared" si="12"/>
        <v>#DIV/0!</v>
      </c>
      <c r="X43" s="51" t="e">
        <f t="shared" si="12"/>
        <v>#DIV/0!</v>
      </c>
      <c r="Y43" s="51" t="e">
        <f t="shared" si="12"/>
        <v>#DIV/0!</v>
      </c>
      <c r="Z43" s="51" t="e">
        <f t="shared" si="12"/>
        <v>#DIV/0!</v>
      </c>
    </row>
    <row r="44" spans="1:26" ht="18.75" customHeight="1" x14ac:dyDescent="0.2">
      <c r="G44" s="4"/>
      <c r="H44" s="7"/>
      <c r="J44" s="19"/>
      <c r="K44" s="106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1:26" ht="18.75" customHeight="1" x14ac:dyDescent="0.2">
      <c r="B45" s="6"/>
      <c r="C45" s="6"/>
      <c r="D45" s="6"/>
      <c r="F45" s="6"/>
      <c r="G45" s="6"/>
      <c r="H45" s="6"/>
      <c r="J45" s="19"/>
      <c r="K45" s="107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</row>
    <row r="46" spans="1:26" ht="18.75" customHeight="1" x14ac:dyDescent="0.2">
      <c r="B46" s="6"/>
      <c r="C46" s="6"/>
      <c r="D46" s="6"/>
      <c r="F46" s="6"/>
      <c r="G46" s="6"/>
      <c r="H46" s="6"/>
    </row>
    <row r="47" spans="1:26" ht="18.75" customHeight="1" x14ac:dyDescent="0.2">
      <c r="B47" s="6"/>
      <c r="C47" s="6"/>
      <c r="D47" s="6"/>
      <c r="F47" s="6"/>
      <c r="G47" s="6"/>
      <c r="H47" s="6"/>
    </row>
    <row r="48" spans="1:26" ht="18.75" customHeight="1" x14ac:dyDescent="0.2">
      <c r="B48" s="6"/>
      <c r="C48" s="6"/>
      <c r="D48" s="6"/>
      <c r="F48" s="6"/>
      <c r="G48" s="6"/>
      <c r="H48" s="6"/>
    </row>
    <row r="49" spans="2:8" ht="18.75" customHeight="1" x14ac:dyDescent="0.2">
      <c r="B49" s="6"/>
      <c r="C49" s="6"/>
      <c r="D49" s="6"/>
      <c r="F49" s="6"/>
      <c r="G49" s="6"/>
      <c r="H49" s="6"/>
    </row>
    <row r="50" spans="2:8" ht="18.75" customHeight="1" x14ac:dyDescent="0.2">
      <c r="B50" s="6"/>
      <c r="C50" s="6"/>
      <c r="D50" s="6"/>
      <c r="F50" s="6"/>
      <c r="G50" s="6"/>
      <c r="H50" s="6"/>
    </row>
    <row r="51" spans="2:8" ht="18.75" customHeight="1" x14ac:dyDescent="0.2">
      <c r="B51" s="6"/>
      <c r="C51" s="6"/>
      <c r="D51" s="6"/>
      <c r="F51" s="6"/>
      <c r="G51" s="6"/>
      <c r="H51" s="6"/>
    </row>
    <row r="52" spans="2:8" ht="18.75" customHeight="1" x14ac:dyDescent="0.2">
      <c r="B52" s="6"/>
      <c r="C52" s="6"/>
      <c r="D52" s="6"/>
      <c r="F52" s="6"/>
      <c r="G52" s="6"/>
      <c r="H52" s="6"/>
    </row>
    <row r="53" spans="2:8" ht="18.75" customHeight="1" x14ac:dyDescent="0.2">
      <c r="B53" s="6"/>
      <c r="C53" s="6"/>
      <c r="D53" s="6"/>
      <c r="F53" s="6"/>
      <c r="G53" s="6"/>
      <c r="H53" s="6"/>
    </row>
    <row r="54" spans="2:8" ht="18.75" customHeight="1" x14ac:dyDescent="0.2">
      <c r="B54" s="6"/>
      <c r="C54" s="6"/>
      <c r="D54" s="6"/>
      <c r="F54" s="6"/>
      <c r="G54" s="6"/>
      <c r="H54" s="6"/>
    </row>
    <row r="55" spans="2:8" ht="18.75" customHeight="1" x14ac:dyDescent="0.2"/>
    <row r="56" spans="2:8" ht="18.75" customHeight="1" x14ac:dyDescent="0.2"/>
    <row r="57" spans="2:8" ht="18.75" customHeight="1" x14ac:dyDescent="0.2"/>
    <row r="58" spans="2:8" ht="18.75" customHeight="1" x14ac:dyDescent="0.2"/>
    <row r="59" spans="2:8" ht="18.75" customHeight="1" x14ac:dyDescent="0.2"/>
    <row r="60" spans="2:8" ht="18.75" customHeight="1" x14ac:dyDescent="0.2"/>
    <row r="61" spans="2:8" ht="18.75" customHeight="1" x14ac:dyDescent="0.2"/>
    <row r="62" spans="2:8" ht="18.75" customHeight="1" x14ac:dyDescent="0.2"/>
    <row r="63" spans="2:8" ht="18.75" customHeight="1" x14ac:dyDescent="0.2"/>
    <row r="64" spans="2:8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</sheetData>
  <sheetProtection sheet="1" objects="1" scenarios="1"/>
  <mergeCells count="9">
    <mergeCell ref="R31:T31"/>
    <mergeCell ref="U31:W31"/>
    <mergeCell ref="X31:Z31"/>
    <mergeCell ref="N1:Q1"/>
    <mergeCell ref="A31:D31"/>
    <mergeCell ref="F31:I31"/>
    <mergeCell ref="A1:D1"/>
    <mergeCell ref="F1:H1"/>
    <mergeCell ref="O31:Q31"/>
  </mergeCells>
  <conditionalFormatting sqref="H21:H29">
    <cfRule type="expression" dxfId="0" priority="1">
      <formula>N_Series=1</formula>
    </cfRule>
  </conditionalFormatting>
  <dataValidations count="1">
    <dataValidation type="decimal" operator="greaterThanOrEqual" allowBlank="1" showInputMessage="1" showErrorMessage="1" sqref="B3:B17 D3:D13">
      <formula1>0</formula1>
    </dataValidation>
  </dataValidations>
  <pageMargins left="0.51181102362204722" right="0.51181102362204722" top="0.51181102362204722" bottom="0.51181102362204722" header="0.51181102362204722" footer="0.51181102362204722"/>
  <pageSetup orientation="portrait" r:id="rId1"/>
  <headerFooter alignWithMargins="0"/>
  <ignoredErrors>
    <ignoredError sqref="K33 A33 F22 K22 C3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3:Q34"/>
  <sheetViews>
    <sheetView showGridLines="0" showRowColHeaders="0" zoomScaleNormal="100" workbookViewId="0">
      <selection activeCell="E34" sqref="E34"/>
    </sheetView>
  </sheetViews>
  <sheetFormatPr defaultRowHeight="14.25" x14ac:dyDescent="0.2"/>
  <cols>
    <col min="1" max="16384" width="8.88671875" style="1"/>
  </cols>
  <sheetData>
    <row r="3" spans="2:4" x14ac:dyDescent="0.2">
      <c r="B3" s="2"/>
      <c r="C3" s="3"/>
      <c r="D3" s="3"/>
    </row>
    <row r="4" spans="2:4" x14ac:dyDescent="0.2">
      <c r="B4" s="2"/>
      <c r="C4" s="3"/>
      <c r="D4" s="3"/>
    </row>
    <row r="5" spans="2:4" x14ac:dyDescent="0.2">
      <c r="B5" s="2"/>
      <c r="C5" s="3"/>
      <c r="D5" s="3"/>
    </row>
    <row r="6" spans="2:4" x14ac:dyDescent="0.2">
      <c r="B6" s="2"/>
      <c r="C6" s="3"/>
      <c r="D6" s="3"/>
    </row>
    <row r="7" spans="2:4" x14ac:dyDescent="0.2">
      <c r="B7" s="2"/>
      <c r="C7" s="3"/>
      <c r="D7" s="3"/>
    </row>
    <row r="8" spans="2:4" x14ac:dyDescent="0.2">
      <c r="B8" s="2"/>
      <c r="C8" s="3"/>
      <c r="D8" s="3"/>
    </row>
    <row r="9" spans="2:4" x14ac:dyDescent="0.2">
      <c r="B9" s="2"/>
      <c r="C9" s="3"/>
      <c r="D9" s="3"/>
    </row>
    <row r="10" spans="2:4" x14ac:dyDescent="0.2">
      <c r="B10" s="2"/>
      <c r="C10" s="3"/>
      <c r="D10" s="3"/>
    </row>
    <row r="11" spans="2:4" x14ac:dyDescent="0.2">
      <c r="B11" s="2"/>
      <c r="C11" s="3"/>
      <c r="D11" s="3"/>
    </row>
    <row r="12" spans="2:4" x14ac:dyDescent="0.2">
      <c r="B12" s="2"/>
      <c r="C12" s="3"/>
      <c r="D12" s="3"/>
    </row>
    <row r="13" spans="2:4" x14ac:dyDescent="0.2">
      <c r="B13" s="2"/>
      <c r="C13" s="3"/>
      <c r="D13" s="3"/>
    </row>
    <row r="14" spans="2:4" x14ac:dyDescent="0.2">
      <c r="B14" s="2"/>
      <c r="C14" s="3"/>
      <c r="D14" s="3"/>
    </row>
    <row r="15" spans="2:4" x14ac:dyDescent="0.2">
      <c r="B15" s="2"/>
      <c r="C15" s="3"/>
      <c r="D15" s="3"/>
    </row>
    <row r="16" spans="2:4" x14ac:dyDescent="0.2">
      <c r="B16" s="2"/>
      <c r="C16" s="3"/>
      <c r="D16" s="3"/>
    </row>
    <row r="17" spans="2:4" x14ac:dyDescent="0.2">
      <c r="B17" s="2"/>
      <c r="C17" s="3"/>
      <c r="D17" s="3"/>
    </row>
    <row r="18" spans="2:4" x14ac:dyDescent="0.2">
      <c r="B18" s="2"/>
    </row>
    <row r="19" spans="2:4" x14ac:dyDescent="0.2">
      <c r="B19" s="2"/>
    </row>
    <row r="20" spans="2:4" x14ac:dyDescent="0.2">
      <c r="B20" s="2"/>
    </row>
    <row r="33" spans="3:17" x14ac:dyDescent="0.2"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3:17" x14ac:dyDescent="0.2"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</sheetData>
  <sheetProtection sheet="1" scenarios="1" selectLockedCells="1" selectUnlockedCell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Introduction</vt:lpstr>
      <vt:lpstr>Models</vt:lpstr>
      <vt:lpstr>Method</vt:lpstr>
      <vt:lpstr>Charts</vt:lpstr>
      <vt:lpstr>Model_LTs</vt:lpstr>
      <vt:lpstr>N_Series</vt:lpstr>
      <vt:lpstr>Series</vt:lpstr>
      <vt:lpstr>Source</vt:lpstr>
      <vt:lpstr>Type_Source</vt:lpstr>
    </vt:vector>
  </TitlesOfParts>
  <Company>University of Cape Town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01404747</dc:creator>
  <cp:lastModifiedBy>Maia Sieverding</cp:lastModifiedBy>
  <dcterms:created xsi:type="dcterms:W3CDTF">2011-10-28T09:00:03Z</dcterms:created>
  <dcterms:modified xsi:type="dcterms:W3CDTF">2012-11-20T14:32:51Z</dcterms:modified>
</cp:coreProperties>
</file>