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9035" windowHeight="7875" activeTab="1"/>
  </bookViews>
  <sheets>
    <sheet name="Introduction" sheetId="4" r:id="rId1"/>
    <sheet name="Method" sheetId="1" r:id="rId2"/>
    <sheet name="Graphs" sheetId="2" r:id="rId3"/>
  </sheets>
  <externalReferences>
    <externalReference r:id="rId4"/>
    <externalReference r:id="rId5"/>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PSLOP">#REF!</definedName>
    <definedName name="SHIFT">#REF!</definedName>
    <definedName name="solver_adj" localSheetId="1" hidden="1">Method!#REF!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Method!#REF!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45621" iterate="1" iterateCount="1000" calcOnSave="0"/>
</workbook>
</file>

<file path=xl/calcChain.xml><?xml version="1.0" encoding="utf-8"?>
<calcChain xmlns="http://schemas.openxmlformats.org/spreadsheetml/2006/main">
  <c r="N8" i="1" l="1"/>
  <c r="J25" i="1"/>
  <c r="J24" i="1" s="1"/>
  <c r="J23" i="1" s="1"/>
  <c r="J22" i="1" s="1"/>
  <c r="J21" i="1" s="1"/>
  <c r="J20" i="1" s="1"/>
  <c r="J19" i="1" s="1"/>
  <c r="J18" i="1" s="1"/>
  <c r="J17" i="1" s="1"/>
  <c r="J16" i="1" s="1"/>
  <c r="J15" i="1" s="1"/>
  <c r="J14" i="1" s="1"/>
  <c r="J13" i="1" s="1"/>
  <c r="J12" i="1" s="1"/>
  <c r="J11" i="1" s="1"/>
  <c r="J10" i="1" s="1"/>
  <c r="J9" i="1" s="1"/>
  <c r="J8" i="1" s="1"/>
  <c r="J7" i="1"/>
  <c r="C2" i="1" l="1"/>
  <c r="AI10" i="1"/>
  <c r="AI11" i="1"/>
  <c r="AI12" i="1"/>
  <c r="AI13" i="1"/>
  <c r="AI14" i="1"/>
  <c r="AI15" i="1"/>
  <c r="AI16" i="1"/>
  <c r="AI17" i="1"/>
  <c r="AI18" i="1"/>
  <c r="AI19" i="1"/>
  <c r="AI20" i="1"/>
  <c r="AI21" i="1"/>
  <c r="AI22" i="1"/>
  <c r="AI23" i="1"/>
  <c r="AI24" i="1"/>
  <c r="AI25" i="1"/>
  <c r="AI9" i="1"/>
  <c r="AI7" i="1"/>
  <c r="I25" i="1" l="1"/>
  <c r="I24" i="1" s="1"/>
  <c r="I23" i="1" s="1"/>
  <c r="I22" i="1" s="1"/>
  <c r="I21" i="1" s="1"/>
  <c r="I20" i="1" l="1"/>
  <c r="I19" i="1" s="1"/>
  <c r="I18" i="1" s="1"/>
  <c r="I17" i="1" s="1"/>
  <c r="I16" i="1" s="1"/>
  <c r="I15" i="1" s="1"/>
  <c r="I14" i="1" s="1"/>
  <c r="I13" i="1" s="1"/>
  <c r="I12" i="1" s="1"/>
  <c r="I11" i="1" s="1"/>
  <c r="I10" i="1" s="1"/>
  <c r="I9" i="1" s="1"/>
  <c r="I8" i="1" s="1"/>
  <c r="G3" i="1"/>
  <c r="AA5" i="1"/>
  <c r="Z5" i="1"/>
  <c r="AB5" i="1"/>
  <c r="AP7" i="1" l="1"/>
  <c r="AO7" i="1"/>
  <c r="AN7" i="1"/>
  <c r="AM7" i="1"/>
  <c r="AL7" i="1"/>
  <c r="AK7" i="1"/>
  <c r="AJ7" i="1"/>
  <c r="AH7" i="1"/>
  <c r="AG7" i="1"/>
  <c r="AF7" i="1"/>
  <c r="AE7" i="1"/>
  <c r="F27" i="1" l="1"/>
  <c r="M36" i="1"/>
  <c r="C7" i="1"/>
  <c r="D7" i="1"/>
  <c r="E7" i="1"/>
  <c r="F7" i="1"/>
  <c r="M35" i="1" l="1"/>
  <c r="H25" i="1" l="1"/>
  <c r="H24" i="1" s="1"/>
  <c r="H23" i="1" s="1"/>
  <c r="H22" i="1" s="1"/>
  <c r="H21" i="1" s="1"/>
  <c r="G25" i="1"/>
  <c r="G24" i="1" s="1"/>
  <c r="G23" i="1" s="1"/>
  <c r="G22" i="1" s="1"/>
  <c r="G21" i="1" s="1"/>
  <c r="B24" i="1"/>
  <c r="B23" i="1"/>
  <c r="B22" i="1"/>
  <c r="B21" i="1"/>
  <c r="A25" i="1"/>
  <c r="A24" i="1"/>
  <c r="A23" i="1"/>
  <c r="A22" i="1"/>
  <c r="A21" i="1"/>
  <c r="O3" i="1" l="1"/>
  <c r="B7" i="1"/>
  <c r="G7" i="1"/>
  <c r="H7" i="1"/>
  <c r="I7" i="1"/>
  <c r="K7" i="1"/>
  <c r="L7" i="1"/>
  <c r="M7" i="1"/>
  <c r="N7" i="1"/>
  <c r="O7" i="1"/>
  <c r="P7" i="1"/>
  <c r="Q7" i="1"/>
  <c r="R7" i="1"/>
  <c r="Z7" i="1"/>
  <c r="AA7" i="1"/>
  <c r="AB7" i="1"/>
  <c r="AC7" i="1"/>
  <c r="AD7" i="1"/>
  <c r="A7" i="1"/>
  <c r="AJ25" i="1" l="1"/>
  <c r="AJ24" i="1"/>
  <c r="AJ23" i="1"/>
  <c r="AJ22" i="1"/>
  <c r="AJ21" i="1"/>
  <c r="AJ20" i="1"/>
  <c r="AJ19" i="1"/>
  <c r="AJ18" i="1"/>
  <c r="AJ17" i="1"/>
  <c r="AJ16" i="1"/>
  <c r="AJ15" i="1"/>
  <c r="AJ14" i="1"/>
  <c r="AJ13" i="1"/>
  <c r="AJ12" i="1"/>
  <c r="AJ11" i="1"/>
  <c r="AJ10" i="1"/>
  <c r="AJ9" i="1"/>
  <c r="D27" i="1"/>
  <c r="AJ26" i="1" l="1"/>
  <c r="AJ27" i="1" s="1"/>
  <c r="AJ28" i="1" s="1"/>
  <c r="AK28" i="1" s="1"/>
  <c r="AK24" i="1"/>
  <c r="C27" i="1"/>
  <c r="E27" i="1"/>
  <c r="G20" i="1"/>
  <c r="G19" i="1" s="1"/>
  <c r="G18" i="1" s="1"/>
  <c r="G17" i="1" s="1"/>
  <c r="G16" i="1" s="1"/>
  <c r="G15" i="1" s="1"/>
  <c r="G14" i="1" s="1"/>
  <c r="G13" i="1" s="1"/>
  <c r="G12" i="1" s="1"/>
  <c r="G11" i="1" s="1"/>
  <c r="G10" i="1" s="1"/>
  <c r="G9" i="1" s="1"/>
  <c r="G8" i="1" s="1"/>
  <c r="AK10" i="1"/>
  <c r="AK11" i="1"/>
  <c r="AK12" i="1"/>
  <c r="AK13" i="1"/>
  <c r="AK14" i="1"/>
  <c r="AK15" i="1"/>
  <c r="AK16" i="1"/>
  <c r="AK17" i="1"/>
  <c r="AK18" i="1"/>
  <c r="AK19" i="1"/>
  <c r="AK20" i="1"/>
  <c r="AK21" i="1"/>
  <c r="AK22" i="1"/>
  <c r="AK25" i="1"/>
  <c r="AK23" i="1"/>
  <c r="AK26" i="1" l="1"/>
  <c r="AK27" i="1"/>
  <c r="G2" i="1"/>
  <c r="L23" i="1" l="1"/>
  <c r="L21" i="1"/>
  <c r="L22" i="1"/>
  <c r="L24" i="1"/>
  <c r="L9" i="1"/>
  <c r="L20" i="1"/>
  <c r="L19" i="1"/>
  <c r="L18" i="1"/>
  <c r="L17" i="1"/>
  <c r="L16" i="1"/>
  <c r="L15" i="1"/>
  <c r="K25" i="1"/>
  <c r="K24" i="1"/>
  <c r="K23" i="1"/>
  <c r="L11" i="1"/>
  <c r="L10" i="1"/>
  <c r="L14" i="1"/>
  <c r="L13" i="1"/>
  <c r="L12" i="1"/>
  <c r="K22" i="1"/>
  <c r="N24" i="1" l="1"/>
  <c r="N22" i="1"/>
  <c r="N23" i="1"/>
  <c r="O23" i="1"/>
  <c r="M24" i="1"/>
  <c r="O24" i="1"/>
  <c r="O22" i="1"/>
  <c r="M23" i="1"/>
  <c r="M22" i="1"/>
  <c r="P23" i="1" l="1"/>
  <c r="P24" i="1"/>
  <c r="H20" i="1"/>
  <c r="K21" i="1"/>
  <c r="N21" i="1" s="1"/>
  <c r="P22" i="1"/>
  <c r="M21" i="1" l="1"/>
  <c r="O21" i="1"/>
  <c r="H19" i="1"/>
  <c r="K20" i="1"/>
  <c r="N20" i="1" s="1"/>
  <c r="M20" i="1" l="1"/>
  <c r="O20" i="1"/>
  <c r="P21" i="1"/>
  <c r="H18" i="1"/>
  <c r="K19" i="1"/>
  <c r="N19" i="1" s="1"/>
  <c r="M19" i="1" l="1"/>
  <c r="O19" i="1"/>
  <c r="H17" i="1"/>
  <c r="K18" i="1"/>
  <c r="N18" i="1" s="1"/>
  <c r="P20" i="1"/>
  <c r="M18" i="1" l="1"/>
  <c r="O18" i="1"/>
  <c r="P19" i="1"/>
  <c r="H16" i="1"/>
  <c r="K17" i="1"/>
  <c r="N17" i="1" s="1"/>
  <c r="M17" i="1" l="1"/>
  <c r="O17" i="1"/>
  <c r="P18" i="1"/>
  <c r="H15" i="1"/>
  <c r="K16" i="1"/>
  <c r="N16" i="1" s="1"/>
  <c r="M16" i="1" l="1"/>
  <c r="O16" i="1"/>
  <c r="P17" i="1"/>
  <c r="H14" i="1"/>
  <c r="K15" i="1"/>
  <c r="N15" i="1" s="1"/>
  <c r="M15" i="1" l="1"/>
  <c r="O15" i="1"/>
  <c r="P16" i="1"/>
  <c r="H13" i="1"/>
  <c r="K14" i="1"/>
  <c r="N14" i="1" s="1"/>
  <c r="M14" i="1" l="1"/>
  <c r="P14" i="1" s="1"/>
  <c r="O14" i="1"/>
  <c r="P15" i="1"/>
  <c r="H12" i="1"/>
  <c r="K13" i="1"/>
  <c r="N13" i="1" s="1"/>
  <c r="M13" i="1" l="1"/>
  <c r="P13" i="1" s="1"/>
  <c r="O13" i="1"/>
  <c r="H11" i="1"/>
  <c r="K12" i="1"/>
  <c r="N12" i="1" s="1"/>
  <c r="M12" i="1" l="1"/>
  <c r="O12" i="1"/>
  <c r="H10" i="1"/>
  <c r="K11" i="1"/>
  <c r="N11" i="1" s="1"/>
  <c r="M11" i="1" l="1"/>
  <c r="P11" i="1" s="1"/>
  <c r="O11" i="1"/>
  <c r="H9" i="1"/>
  <c r="K10" i="1"/>
  <c r="N10" i="1" s="1"/>
  <c r="P12" i="1"/>
  <c r="M10" i="1" l="1"/>
  <c r="P10" i="1" s="1"/>
  <c r="O10" i="1"/>
  <c r="H8" i="1"/>
  <c r="K9" i="1"/>
  <c r="O9" i="1" s="1"/>
  <c r="N9" i="1" l="1"/>
  <c r="M9" i="1"/>
  <c r="K8" i="1"/>
  <c r="P9" i="1" l="1"/>
  <c r="Q32" i="1"/>
  <c r="AB15" i="1" l="1"/>
  <c r="AB23" i="1"/>
  <c r="AB18" i="1"/>
  <c r="AB9" i="1"/>
  <c r="AB17" i="1"/>
  <c r="AB25" i="1"/>
  <c r="AB16" i="1"/>
  <c r="AB24" i="1"/>
  <c r="AB8" i="1"/>
  <c r="AB11" i="1"/>
  <c r="AB19" i="1"/>
  <c r="AB10" i="1"/>
  <c r="AB22" i="1"/>
  <c r="AB13" i="1"/>
  <c r="AB21" i="1"/>
  <c r="AB12" i="1"/>
  <c r="AB20" i="1"/>
  <c r="AB14" i="1"/>
  <c r="Q33" i="1"/>
  <c r="Q27" i="1"/>
  <c r="Q36" i="1" l="1"/>
  <c r="Q35" i="1"/>
  <c r="Q28" i="1"/>
  <c r="Q8" i="1"/>
  <c r="Q19" i="1"/>
  <c r="R19" i="1" s="1"/>
  <c r="Q17" i="1"/>
  <c r="R17" i="1" s="1"/>
  <c r="Q9" i="1"/>
  <c r="R9" i="1" s="1"/>
  <c r="Q21" i="1"/>
  <c r="R21" i="1" s="1"/>
  <c r="Q20" i="1"/>
  <c r="R20" i="1" s="1"/>
  <c r="Q10" i="1"/>
  <c r="R10" i="1" s="1"/>
  <c r="Q12" i="1"/>
  <c r="R12" i="1" s="1"/>
  <c r="Q22" i="1"/>
  <c r="R22" i="1" s="1"/>
  <c r="Q11" i="1"/>
  <c r="R11" i="1" s="1"/>
  <c r="Q16" i="1"/>
  <c r="R16" i="1" s="1"/>
  <c r="Q13" i="1"/>
  <c r="R13" i="1" s="1"/>
  <c r="Q14" i="1"/>
  <c r="R14" i="1" s="1"/>
  <c r="Q24" i="1"/>
  <c r="R24" i="1" s="1"/>
  <c r="Q18" i="1"/>
  <c r="R18" i="1" s="1"/>
  <c r="Q23" i="1"/>
  <c r="R23" i="1" s="1"/>
  <c r="Q15" i="1"/>
  <c r="R15" i="1" s="1"/>
  <c r="Q29" i="1" l="1"/>
  <c r="Z9" i="1" l="1"/>
  <c r="Z13" i="1"/>
  <c r="Z17" i="1"/>
  <c r="Z21" i="1"/>
  <c r="Z25" i="1"/>
  <c r="Z12" i="1"/>
  <c r="Z16" i="1"/>
  <c r="Z20" i="1"/>
  <c r="Z24" i="1"/>
  <c r="Z8" i="1"/>
  <c r="Z11" i="1"/>
  <c r="Z15" i="1"/>
  <c r="Z19" i="1"/>
  <c r="Z23" i="1"/>
  <c r="Z10" i="1"/>
  <c r="Z14" i="1"/>
  <c r="Z18" i="1"/>
  <c r="Z22" i="1"/>
  <c r="Q30" i="1"/>
  <c r="Z27" i="1" l="1"/>
  <c r="AA9" i="1"/>
  <c r="AC9" i="1" s="1"/>
  <c r="AD9" i="1" s="1"/>
  <c r="AF9" i="1" s="1"/>
  <c r="AA13" i="1"/>
  <c r="AC13" i="1" s="1"/>
  <c r="AD13" i="1" s="1"/>
  <c r="AF13" i="1" s="1"/>
  <c r="AA17" i="1"/>
  <c r="AC17" i="1" s="1"/>
  <c r="AD17" i="1" s="1"/>
  <c r="AF17" i="1" s="1"/>
  <c r="AA21" i="1"/>
  <c r="AC21" i="1" s="1"/>
  <c r="AD21" i="1" s="1"/>
  <c r="AF21" i="1" s="1"/>
  <c r="AA25" i="1"/>
  <c r="AC25" i="1" s="1"/>
  <c r="AD25" i="1" s="1"/>
  <c r="AF25" i="1" s="1"/>
  <c r="AA12" i="1"/>
  <c r="AC12" i="1" s="1"/>
  <c r="AD12" i="1" s="1"/>
  <c r="AF12" i="1" s="1"/>
  <c r="AA16" i="1"/>
  <c r="AC16" i="1" s="1"/>
  <c r="AD16" i="1" s="1"/>
  <c r="AF16" i="1" s="1"/>
  <c r="AA20" i="1"/>
  <c r="AC20" i="1" s="1"/>
  <c r="AA24" i="1"/>
  <c r="AC24" i="1" s="1"/>
  <c r="AD24" i="1" s="1"/>
  <c r="AF24" i="1" s="1"/>
  <c r="AA8" i="1"/>
  <c r="AC8" i="1" s="1"/>
  <c r="AD8" i="1" s="1"/>
  <c r="AA11" i="1"/>
  <c r="AC11" i="1" s="1"/>
  <c r="AD11" i="1" s="1"/>
  <c r="AF11" i="1" s="1"/>
  <c r="AA15" i="1"/>
  <c r="AC15" i="1" s="1"/>
  <c r="AD15" i="1" s="1"/>
  <c r="AF15" i="1" s="1"/>
  <c r="AA19" i="1"/>
  <c r="AC19" i="1" s="1"/>
  <c r="AD19" i="1" s="1"/>
  <c r="AF19" i="1" s="1"/>
  <c r="AA23" i="1"/>
  <c r="AC23" i="1" s="1"/>
  <c r="AD23" i="1" s="1"/>
  <c r="AF23" i="1" s="1"/>
  <c r="AA10" i="1"/>
  <c r="AC10" i="1" s="1"/>
  <c r="AD10" i="1" s="1"/>
  <c r="AF10" i="1" s="1"/>
  <c r="AA14" i="1"/>
  <c r="AC14" i="1" s="1"/>
  <c r="AD14" i="1" s="1"/>
  <c r="AF14" i="1" s="1"/>
  <c r="AA18" i="1"/>
  <c r="AC18" i="1" s="1"/>
  <c r="AD18" i="1" s="1"/>
  <c r="AF18" i="1" s="1"/>
  <c r="AA22" i="1"/>
  <c r="AC22" i="1" s="1"/>
  <c r="AD22" i="1" s="1"/>
  <c r="AF22" i="1" s="1"/>
  <c r="Q31" i="1"/>
  <c r="AD20" i="1"/>
  <c r="AF20" i="1" s="1"/>
  <c r="AB27" i="1"/>
  <c r="AA27" i="1" l="1"/>
  <c r="AG10" i="1"/>
  <c r="AH10" i="1" l="1"/>
  <c r="AG11" i="1"/>
  <c r="AH11" i="1" l="1"/>
  <c r="AG12" i="1"/>
  <c r="AG13" i="1" l="1"/>
  <c r="AH12" i="1"/>
  <c r="AH13" i="1" l="1"/>
  <c r="AG14" i="1"/>
  <c r="AG15" i="1" l="1"/>
  <c r="AH14" i="1"/>
  <c r="AG16" i="1" l="1"/>
  <c r="AH15" i="1"/>
  <c r="AG17" i="1" l="1"/>
  <c r="AH16" i="1"/>
  <c r="AG18" i="1" l="1"/>
  <c r="AH17" i="1"/>
  <c r="AG19" i="1" l="1"/>
  <c r="AH18" i="1"/>
  <c r="AG20" i="1" l="1"/>
  <c r="AH19" i="1"/>
  <c r="AG21" i="1" l="1"/>
  <c r="AH20" i="1"/>
  <c r="AG22" i="1" l="1"/>
  <c r="AH21" i="1"/>
  <c r="AG23" i="1" l="1"/>
  <c r="AH22" i="1"/>
  <c r="AH23" i="1" l="1"/>
  <c r="AG24" i="1"/>
  <c r="AG25" i="1" l="1"/>
  <c r="AH24" i="1"/>
  <c r="AG26" i="1" l="1"/>
  <c r="AH26" i="1" s="1"/>
  <c r="AH25" i="1"/>
  <c r="AL4" i="1"/>
  <c r="AL3" i="1"/>
  <c r="AL27" i="1" l="1"/>
  <c r="AM27" i="1" s="1"/>
  <c r="AL28" i="1"/>
  <c r="AM28" i="1" s="1"/>
  <c r="AN28" i="1" s="1"/>
  <c r="AL10" i="1"/>
  <c r="AM10" i="1" s="1"/>
  <c r="AL11" i="1"/>
  <c r="AM11" i="1" s="1"/>
  <c r="AL12" i="1"/>
  <c r="AM12" i="1" s="1"/>
  <c r="AL17" i="1"/>
  <c r="AM17" i="1" s="1"/>
  <c r="AL18" i="1"/>
  <c r="AM18" i="1" s="1"/>
  <c r="AL23" i="1"/>
  <c r="AM23" i="1" s="1"/>
  <c r="AL24" i="1"/>
  <c r="AM24" i="1" s="1"/>
  <c r="AL21" i="1"/>
  <c r="AM21" i="1" s="1"/>
  <c r="AL22" i="1"/>
  <c r="AM22" i="1" s="1"/>
  <c r="AL19" i="1"/>
  <c r="AM19" i="1" s="1"/>
  <c r="AL20" i="1"/>
  <c r="AM20" i="1" s="1"/>
  <c r="AL25" i="1"/>
  <c r="AM25" i="1" s="1"/>
  <c r="AL26" i="1"/>
  <c r="AM26" i="1" s="1"/>
  <c r="AL14" i="1"/>
  <c r="AM14" i="1" s="1"/>
  <c r="AL15" i="1"/>
  <c r="AM15" i="1" s="1"/>
  <c r="AL16" i="1"/>
  <c r="AM16" i="1" s="1"/>
  <c r="AQ16" i="1" s="1"/>
  <c r="AL13" i="1"/>
  <c r="AM13" i="1" s="1"/>
  <c r="AQ14" i="1" l="1"/>
  <c r="AQ25" i="1"/>
  <c r="AQ19" i="1"/>
  <c r="AQ21" i="1"/>
  <c r="AQ23" i="1"/>
  <c r="AQ17" i="1"/>
  <c r="AQ11" i="1"/>
  <c r="AQ10" i="1"/>
  <c r="AQ9" i="1"/>
  <c r="AQ13" i="1"/>
  <c r="AQ15" i="1"/>
  <c r="AQ20" i="1"/>
  <c r="AQ22" i="1"/>
  <c r="AQ24" i="1"/>
  <c r="AQ18" i="1"/>
  <c r="AQ12" i="1"/>
  <c r="AN27" i="1"/>
  <c r="AN26" i="1" s="1"/>
  <c r="AO26" i="1" s="1"/>
  <c r="AO3" i="1"/>
  <c r="AO4" i="1"/>
  <c r="AN25" i="1" l="1"/>
  <c r="AN24" i="1" s="1"/>
  <c r="AO25" i="1" l="1"/>
  <c r="AO24" i="1"/>
  <c r="AN23" i="1"/>
  <c r="AO23" i="1" l="1"/>
  <c r="AN22" i="1"/>
  <c r="AO22" i="1" l="1"/>
  <c r="AN21" i="1"/>
  <c r="AO21" i="1" l="1"/>
  <c r="AN20" i="1"/>
  <c r="AN19" i="1" l="1"/>
  <c r="AO20" i="1"/>
  <c r="AO19" i="1" l="1"/>
  <c r="AN18" i="1"/>
  <c r="AO18" i="1" l="1"/>
  <c r="AN17" i="1"/>
  <c r="AO17" i="1" l="1"/>
  <c r="AN16" i="1"/>
  <c r="AN15" i="1" l="1"/>
  <c r="AO16" i="1"/>
  <c r="AO15" i="1" l="1"/>
  <c r="AN14" i="1"/>
  <c r="AO14" i="1" l="1"/>
  <c r="AN13" i="1"/>
  <c r="AO13" i="1" l="1"/>
  <c r="AN12" i="1"/>
  <c r="AN11" i="1" l="1"/>
  <c r="AO12" i="1"/>
  <c r="AO11" i="1" l="1"/>
  <c r="AN10" i="1"/>
  <c r="AO10" i="1" l="1"/>
  <c r="AN9" i="1"/>
  <c r="AO9" i="1" s="1"/>
</calcChain>
</file>

<file path=xl/comments1.xml><?xml version="1.0" encoding="utf-8"?>
<comments xmlns="http://schemas.openxmlformats.org/spreadsheetml/2006/main">
  <authors>
    <author>Rob Dorrrington</author>
  </authors>
  <commentList>
    <comment ref="AN2" authorId="0">
      <text>
        <r>
          <rPr>
            <b/>
            <sz val="12"/>
            <color indexed="81"/>
            <rFont val="Tahoma"/>
            <family val="2"/>
          </rPr>
          <t>These values are only valid if the standard is table used to smooth the rates (col AG) is appropriate. An approprite table would produce a fit with most of the points in the graphs to the right lying close to the line.
As it stands this table is set up primarily to estimate e(65) to e(85).</t>
        </r>
      </text>
    </comment>
    <comment ref="A5" authorId="0">
      <text>
        <r>
          <rPr>
            <b/>
            <sz val="8"/>
            <color indexed="81"/>
            <rFont val="Tahoma"/>
            <family val="2"/>
          </rPr>
          <t>These dates need to be the same if applying Brass's Growth balance to a single census assuming the population is stable</t>
        </r>
      </text>
    </commen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sharedStrings.xml><?xml version="1.0" encoding="utf-8"?>
<sst xmlns="http://schemas.openxmlformats.org/spreadsheetml/2006/main" count="97" uniqueCount="87">
  <si>
    <t xml:space="preserve">Lower age= </t>
  </si>
  <si>
    <t>Fit from:</t>
  </si>
  <si>
    <t xml:space="preserve">Intercensal period = </t>
  </si>
  <si>
    <t>Upper age =</t>
  </si>
  <si>
    <t>Adjusted</t>
  </si>
  <si>
    <t>Fit to:</t>
  </si>
  <si>
    <t>x</t>
  </si>
  <si>
    <t>y</t>
  </si>
  <si>
    <t>Residuals</t>
  </si>
  <si>
    <t>Age</t>
  </si>
  <si>
    <t>Alpha  =</t>
  </si>
  <si>
    <t>45q15 =</t>
  </si>
  <si>
    <t>P1(x+)</t>
  </si>
  <si>
    <t>P2(x+)</t>
  </si>
  <si>
    <t>D(x+)</t>
  </si>
  <si>
    <t>PYL(x+)</t>
  </si>
  <si>
    <t>N(x)</t>
  </si>
  <si>
    <t>n(x+)</t>
  </si>
  <si>
    <t>d(x+)</t>
  </si>
  <si>
    <t>a+bx</t>
  </si>
  <si>
    <t>y-(a+bx)</t>
  </si>
  <si>
    <t>PYL(x,5)</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</si>
  <si>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</si>
  <si>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</si>
  <si>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</si>
  <si>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</si>
  <si>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</si>
  <si>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</si>
  <si>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</si>
  <si>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</si>
  <si>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</si>
  <si>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</si>
  <si>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</si>
  <si>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</si>
  <si>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</si>
  <si>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</si>
  <si>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</si>
  <si>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</si>
  <si>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</si>
  <si>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</si>
  <si>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</si>
  <si>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</si>
  <si>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c =</t>
  </si>
  <si>
    <t>a =</t>
  </si>
  <si>
    <t>b =</t>
  </si>
  <si>
    <t>Country:</t>
  </si>
  <si>
    <t>South Africa</t>
  </si>
  <si>
    <t>Mid-point of censuses:</t>
  </si>
  <si>
    <t>Midpoint of the deaths:</t>
  </si>
  <si>
    <t>Dates of censuses =</t>
  </si>
  <si>
    <t>Age range over which line to be fitted</t>
  </si>
  <si>
    <r>
      <t>5</t>
    </r>
    <r>
      <rPr>
        <b/>
        <i/>
        <sz val="12"/>
        <rFont val="Arial Narrow"/>
        <family val="2"/>
      </rPr>
      <t>N</t>
    </r>
    <r>
      <rPr>
        <b/>
        <i/>
        <vertAlign val="subscript"/>
        <sz val="12"/>
        <rFont val="Arial Narrow"/>
        <family val="2"/>
      </rPr>
      <t>x</t>
    </r>
    <r>
      <rPr>
        <b/>
        <sz val="12"/>
        <rFont val="Arial Narrow"/>
        <family val="2"/>
      </rPr>
      <t>(</t>
    </r>
    <r>
      <rPr>
        <b/>
        <i/>
        <sz val="12"/>
        <rFont val="Arial Narrow"/>
        <family val="2"/>
      </rPr>
      <t>t</t>
    </r>
    <r>
      <rPr>
        <b/>
        <i/>
        <vertAlign val="subscript"/>
        <sz val="12"/>
        <rFont val="Arial Narrow"/>
        <family val="2"/>
      </rPr>
      <t>1</t>
    </r>
    <r>
      <rPr>
        <b/>
        <sz val="12"/>
        <rFont val="Arial Narrow"/>
        <family val="2"/>
      </rPr>
      <t>)</t>
    </r>
  </si>
  <si>
    <r>
      <t>5</t>
    </r>
    <r>
      <rPr>
        <b/>
        <i/>
        <sz val="12"/>
        <rFont val="Arial Narrow"/>
        <family val="2"/>
      </rPr>
      <t>N</t>
    </r>
    <r>
      <rPr>
        <b/>
        <i/>
        <vertAlign val="subscript"/>
        <sz val="12"/>
        <rFont val="Arial Narrow"/>
        <family val="2"/>
      </rPr>
      <t>x</t>
    </r>
    <r>
      <rPr>
        <b/>
        <sz val="12"/>
        <rFont val="Arial Narrow"/>
        <family val="2"/>
      </rPr>
      <t>(</t>
    </r>
    <r>
      <rPr>
        <b/>
        <i/>
        <sz val="12"/>
        <rFont val="Arial Narrow"/>
        <family val="2"/>
      </rPr>
      <t>t</t>
    </r>
    <r>
      <rPr>
        <b/>
        <i/>
        <vertAlign val="subscript"/>
        <sz val="12"/>
        <rFont val="Arial Narrow"/>
        <family val="2"/>
      </rPr>
      <t>2</t>
    </r>
    <r>
      <rPr>
        <b/>
        <sz val="12"/>
        <rFont val="Arial Narrow"/>
        <family val="2"/>
      </rPr>
      <t>)</t>
    </r>
  </si>
  <si>
    <r>
      <t>5</t>
    </r>
    <r>
      <rPr>
        <b/>
        <i/>
        <sz val="12"/>
        <rFont val="Arial Narrow"/>
        <family val="2"/>
      </rPr>
      <t>D</t>
    </r>
    <r>
      <rPr>
        <b/>
        <i/>
        <vertAlign val="subscript"/>
        <sz val="12"/>
        <rFont val="Arial Narrow"/>
        <family val="2"/>
      </rPr>
      <t>x</t>
    </r>
  </si>
  <si>
    <r>
      <t>5</t>
    </r>
    <r>
      <rPr>
        <b/>
        <i/>
        <sz val="12"/>
        <rFont val="Arial Narrow"/>
        <family val="2"/>
      </rPr>
      <t>NM</t>
    </r>
    <r>
      <rPr>
        <b/>
        <i/>
        <vertAlign val="subscript"/>
        <sz val="12"/>
        <rFont val="Arial Narrow"/>
        <family val="2"/>
      </rPr>
      <t>x</t>
    </r>
  </si>
  <si>
    <r>
      <rPr>
        <b/>
        <vertAlign val="subscript"/>
        <sz val="12"/>
        <rFont val="Arial Narrow"/>
        <family val="2"/>
      </rPr>
      <t>5</t>
    </r>
    <r>
      <rPr>
        <b/>
        <i/>
        <sz val="12"/>
        <rFont val="Arial Narrow"/>
        <family val="2"/>
      </rPr>
      <t>m</t>
    </r>
    <r>
      <rPr>
        <b/>
        <i/>
        <vertAlign val="subscript"/>
        <sz val="12"/>
        <rFont val="Arial Narrow"/>
        <family val="2"/>
      </rPr>
      <t>x</t>
    </r>
  </si>
  <si>
    <r>
      <rPr>
        <b/>
        <vertAlign val="subscript"/>
        <sz val="12"/>
        <rFont val="Arial Narrow"/>
        <family val="2"/>
      </rPr>
      <t>5</t>
    </r>
    <r>
      <rPr>
        <b/>
        <i/>
        <sz val="12"/>
        <rFont val="Arial Narrow"/>
        <family val="2"/>
      </rPr>
      <t>q</t>
    </r>
    <r>
      <rPr>
        <b/>
        <i/>
        <vertAlign val="subscript"/>
        <sz val="12"/>
        <rFont val="Arial Narrow"/>
        <family val="2"/>
      </rPr>
      <t>x</t>
    </r>
  </si>
  <si>
    <r>
      <rPr>
        <b/>
        <i/>
        <sz val="12"/>
        <rFont val="Arial Narrow"/>
        <family val="2"/>
      </rPr>
      <t>l</t>
    </r>
    <r>
      <rPr>
        <b/>
        <i/>
        <vertAlign val="subscript"/>
        <sz val="12"/>
        <rFont val="Arial Narrow"/>
        <family val="2"/>
      </rPr>
      <t>x</t>
    </r>
    <r>
      <rPr>
        <b/>
        <sz val="12"/>
        <rFont val="Arial Narrow"/>
        <family val="2"/>
      </rPr>
      <t>/</t>
    </r>
    <r>
      <rPr>
        <b/>
        <i/>
        <sz val="12"/>
        <rFont val="Arial Narrow"/>
        <family val="2"/>
      </rPr>
      <t>l</t>
    </r>
    <r>
      <rPr>
        <b/>
        <vertAlign val="subscript"/>
        <sz val="12"/>
        <rFont val="Arial Narrow"/>
        <family val="2"/>
      </rPr>
      <t>5</t>
    </r>
  </si>
  <si>
    <r>
      <t xml:space="preserve">Obs. </t>
    </r>
    <r>
      <rPr>
        <b/>
        <i/>
        <sz val="12"/>
        <rFont val="Arial Narrow"/>
        <family val="2"/>
      </rPr>
      <t>Y</t>
    </r>
    <r>
      <rPr>
        <b/>
        <sz val="12"/>
        <rFont val="Arial Narrow"/>
        <family val="2"/>
      </rPr>
      <t>(</t>
    </r>
    <r>
      <rPr>
        <b/>
        <i/>
        <sz val="12"/>
        <rFont val="Arial Narrow"/>
        <family val="2"/>
      </rPr>
      <t>x</t>
    </r>
    <r>
      <rPr>
        <b/>
        <sz val="12"/>
        <rFont val="Arial Narrow"/>
        <family val="2"/>
      </rPr>
      <t>)</t>
    </r>
  </si>
  <si>
    <r>
      <t xml:space="preserve">Cdn. </t>
    </r>
    <r>
      <rPr>
        <b/>
        <i/>
        <sz val="12"/>
        <rFont val="Arial Narrow"/>
        <family val="2"/>
      </rPr>
      <t>Ys</t>
    </r>
    <r>
      <rPr>
        <b/>
        <sz val="12"/>
        <rFont val="Arial Narrow"/>
        <family val="2"/>
      </rPr>
      <t>(</t>
    </r>
    <r>
      <rPr>
        <b/>
        <i/>
        <sz val="12"/>
        <rFont val="Arial Narrow"/>
        <family val="2"/>
      </rPr>
      <t>x</t>
    </r>
    <r>
      <rPr>
        <b/>
        <sz val="12"/>
        <rFont val="Arial Narrow"/>
        <family val="2"/>
      </rPr>
      <t>)</t>
    </r>
  </si>
  <si>
    <r>
      <t xml:space="preserve">Fitted </t>
    </r>
    <r>
      <rPr>
        <b/>
        <i/>
        <sz val="12"/>
        <rFont val="Arial Narrow"/>
        <family val="2"/>
      </rPr>
      <t>Y</t>
    </r>
    <r>
      <rPr>
        <b/>
        <sz val="12"/>
        <rFont val="Arial Narrow"/>
        <family val="2"/>
      </rPr>
      <t>(x)</t>
    </r>
  </si>
  <si>
    <r>
      <t xml:space="preserve">Fitted </t>
    </r>
    <r>
      <rPr>
        <b/>
        <i/>
        <sz val="12"/>
        <rFont val="Arial Narrow"/>
        <family val="2"/>
      </rPr>
      <t>l</t>
    </r>
    <r>
      <rPr>
        <b/>
        <sz val="12"/>
        <rFont val="Arial Narrow"/>
        <family val="2"/>
      </rPr>
      <t>(</t>
    </r>
    <r>
      <rPr>
        <b/>
        <i/>
        <sz val="12"/>
        <rFont val="Arial Narrow"/>
        <family val="2"/>
      </rPr>
      <t>x</t>
    </r>
    <r>
      <rPr>
        <b/>
        <sz val="12"/>
        <rFont val="Arial Narrow"/>
        <family val="2"/>
      </rPr>
      <t>)</t>
    </r>
  </si>
  <si>
    <r>
      <rPr>
        <b/>
        <i/>
        <sz val="12"/>
        <rFont val="Arial Narrow"/>
        <family val="2"/>
      </rPr>
      <t>T</t>
    </r>
    <r>
      <rPr>
        <b/>
        <sz val="12"/>
        <rFont val="Arial Narrow"/>
        <family val="2"/>
      </rPr>
      <t>(</t>
    </r>
    <r>
      <rPr>
        <b/>
        <i/>
        <sz val="12"/>
        <rFont val="Arial Narrow"/>
        <family val="2"/>
      </rPr>
      <t>x</t>
    </r>
    <r>
      <rPr>
        <b/>
        <sz val="12"/>
        <rFont val="Arial Narrow"/>
        <family val="2"/>
      </rPr>
      <t>)</t>
    </r>
  </si>
  <si>
    <r>
      <rPr>
        <b/>
        <i/>
        <sz val="12"/>
        <rFont val="Arial Narrow"/>
        <family val="2"/>
      </rPr>
      <t>e</t>
    </r>
    <r>
      <rPr>
        <b/>
        <sz val="12"/>
        <rFont val="Arial Narrow"/>
        <family val="2"/>
      </rPr>
      <t>(</t>
    </r>
    <r>
      <rPr>
        <b/>
        <i/>
        <sz val="12"/>
        <rFont val="Arial Narrow"/>
        <family val="2"/>
      </rPr>
      <t>x</t>
    </r>
    <r>
      <rPr>
        <b/>
        <sz val="12"/>
        <rFont val="Arial Narrow"/>
        <family val="2"/>
      </rPr>
      <t>)</t>
    </r>
  </si>
  <si>
    <t>Males</t>
  </si>
  <si>
    <t>Females</t>
  </si>
  <si>
    <t>Sex</t>
  </si>
  <si>
    <t>West (e0=60)</t>
  </si>
  <si>
    <t>WARNING</t>
  </si>
  <si>
    <t>NM(x+)</t>
  </si>
  <si>
    <t>r(x+)-i(x+)</t>
  </si>
  <si>
    <t>=n(x+)-r(x+)+i(x+)</t>
  </si>
  <si>
    <t xml:space="preserve">This method is described at: </t>
  </si>
  <si>
    <t>http://www.urlhere.com</t>
  </si>
  <si>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of using the estimates of completeness to convert the data on deaths into mortality rates, provided one has access to a model life table that is appropriate (has similar shape) to that of the country being considered.</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</si>
  <si>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</si>
  <si>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</si>
  <si>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Estimation of adult mortality using the Growth Balance model - Instructions</t>
  </si>
  <si>
    <r>
      <t xml:space="preserve">Inspect the diagnostic plot and decide on the age interval over which the is to be fitted (cells </t>
    </r>
    <r>
      <rPr>
        <b/>
        <sz val="12"/>
        <rFont val="Arial"/>
        <family val="2"/>
      </rPr>
      <t>L2</t>
    </r>
    <r>
      <rPr>
        <sz val="12"/>
        <rFont val="Arial"/>
        <family val="2"/>
      </rPr>
      <t xml:space="preserve"> &amp; </t>
    </r>
    <r>
      <rPr>
        <b/>
        <sz val="12"/>
        <rFont val="Arial"/>
        <family val="2"/>
      </rPr>
      <t>L3</t>
    </r>
    <r>
      <rPr>
        <sz val="12"/>
        <rFont val="Arial"/>
        <family val="2"/>
      </rPr>
      <t>).</t>
    </r>
  </si>
  <si>
    <r>
      <t xml:space="preserve">The estimate of completeness appears in cell </t>
    </r>
    <r>
      <rPr>
        <b/>
        <sz val="12"/>
        <rFont val="Arial"/>
        <family val="2"/>
      </rPr>
      <t>Q32</t>
    </r>
    <r>
      <rPr>
        <sz val="12"/>
        <rFont val="Arial"/>
        <family val="2"/>
      </rPr>
      <t xml:space="preserve"> in the </t>
    </r>
    <r>
      <rPr>
        <b/>
        <i/>
        <sz val="12"/>
        <rFont val="Arial"/>
        <family val="2"/>
      </rPr>
      <t>Method</t>
    </r>
    <r>
      <rPr>
        <sz val="12"/>
        <rFont val="Arial"/>
        <family val="2"/>
      </rPr>
      <t xml:space="preserve"> spreadsheet. The estimates of mortality rates adjusted for incompleteness of registration and relative undercount of the one census to the other appear in cells </t>
    </r>
    <r>
      <rPr>
        <b/>
        <sz val="12"/>
        <rFont val="Arial"/>
        <family val="2"/>
      </rPr>
      <t>AD8:AD25</t>
    </r>
    <r>
      <rPr>
        <sz val="12"/>
        <rFont val="Arial"/>
        <family val="2"/>
      </rPr>
      <t xml:space="preserve"> in the </t>
    </r>
    <r>
      <rPr>
        <b/>
        <i/>
        <sz val="12"/>
        <rFont val="Arial"/>
        <family val="2"/>
      </rPr>
      <t>Method</t>
    </r>
    <r>
      <rPr>
        <sz val="12"/>
        <rFont val="Arial"/>
        <family val="2"/>
      </rPr>
      <t xml:space="preserve"> spreadsheet.</t>
    </r>
  </si>
  <si>
    <t>&lt;-- must be less than</t>
  </si>
  <si>
    <r>
      <t xml:space="preserve">Enter the name of the population in cell </t>
    </r>
    <r>
      <rPr>
        <b/>
        <sz val="12"/>
        <rFont val="Arial"/>
        <family val="2"/>
      </rPr>
      <t>C1</t>
    </r>
    <r>
      <rPr>
        <sz val="12"/>
        <rFont val="Arial"/>
        <family val="2"/>
      </rPr>
      <t xml:space="preserve">, choose the sex in cell </t>
    </r>
    <r>
      <rPr>
        <b/>
        <sz val="12"/>
        <rFont val="Arial"/>
        <family val="2"/>
      </rPr>
      <t>C3</t>
    </r>
    <r>
      <rPr>
        <sz val="12"/>
        <rFont val="Arial"/>
        <family val="2"/>
      </rPr>
      <t xml:space="preserve">, and the dates of the 1st and 2nd census (yyyy/mm/dd) in cells </t>
    </r>
    <r>
      <rPr>
        <b/>
        <sz val="12"/>
        <rFont val="Arial"/>
        <family val="2"/>
      </rPr>
      <t>C5</t>
    </r>
    <r>
      <rPr>
        <sz val="12"/>
        <rFont val="Arial"/>
        <family val="2"/>
      </rPr>
      <t xml:space="preserve"> &amp; </t>
    </r>
    <r>
      <rPr>
        <b/>
        <sz val="12"/>
        <rFont val="Arial"/>
        <family val="2"/>
      </rPr>
      <t>D5</t>
    </r>
    <r>
      <rPr>
        <sz val="12"/>
        <rFont val="Arial"/>
        <family val="2"/>
      </rPr>
      <t xml:space="preserve"> in the </t>
    </r>
    <r>
      <rPr>
        <b/>
        <i/>
        <sz val="12"/>
        <rFont val="Arial"/>
        <family val="2"/>
      </rPr>
      <t>Method</t>
    </r>
    <r>
      <rPr>
        <sz val="12"/>
        <rFont val="Arial"/>
        <family val="2"/>
      </rPr>
      <t xml:space="preserve"> spreadsheet. (If working with a stable population with a single census the the date needs to be entered in cell </t>
    </r>
    <r>
      <rPr>
        <b/>
        <sz val="12"/>
        <rFont val="Arial"/>
        <family val="2"/>
      </rPr>
      <t>C5</t>
    </r>
    <r>
      <rPr>
        <sz val="12"/>
        <rFont val="Arial"/>
        <family val="2"/>
      </rPr>
      <t xml:space="preserve"> and then copied to cell </t>
    </r>
    <r>
      <rPr>
        <b/>
        <sz val="12"/>
        <rFont val="Arial"/>
        <family val="2"/>
      </rPr>
      <t>D5</t>
    </r>
    <r>
      <rPr>
        <sz val="12"/>
        <rFont val="Arial"/>
        <family val="2"/>
      </rPr>
      <t xml:space="preserve"> (not entered) to ensure that they are exactly equal.)</t>
    </r>
  </si>
  <si>
    <r>
      <t xml:space="preserve">Set cell </t>
    </r>
    <r>
      <rPr>
        <b/>
        <sz val="12"/>
        <rFont val="Arial"/>
        <family val="2"/>
      </rPr>
      <t>L3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</si>
  <si>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</si>
  <si>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t>Based on GGB_South Africa_females_0.xlsx</t>
  </si>
  <si>
    <t>demographicestimation.iussp.org</t>
  </si>
  <si>
    <t>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</si>
</sst>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s>
  <fonts count="28" x14ac:knownFonts="1">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2"/>
      <color indexed="12"/>
      <name val="Arial Narrow"/>
      <family val="2"/>
    </font>
    <font>
      <sz val="10"/>
      <name val="Arial"/>
      <family val="2"/>
    </font>
    <font>
      <sz val="12"/>
      <name val="Arial Narrow"/>
      <family val="2"/>
    </font>
    <font>
      <sz val="12"/>
      <color theme="0" tint="-0.499984740745262"/>
      <name val="Arial Narrow"/>
      <family val="2"/>
    </font>
    <font>
      <sz val="12"/>
      <color rgb="FF0070C0"/>
      <name val="Arial Narrow"/>
      <family val="2"/>
    </font>
    <font>
      <b/>
      <sz val="12"/>
      <name val="Arial Narrow"/>
      <family val="2"/>
    </font>
    <font>
      <sz val="12"/>
      <color indexed="10"/>
      <name val="Arial Narrow"/>
      <family val="2"/>
    </font>
    <font>
      <b/>
      <i/>
      <sz val="12"/>
      <name val="Arial Narrow"/>
      <family val="2"/>
    </font>
    <font>
      <b/>
      <vertAlign val="subscript"/>
      <sz val="12"/>
      <name val="Arial Narrow"/>
      <family val="2"/>
    </font>
    <font>
      <b/>
      <i/>
      <vertAlign val="subscript"/>
      <sz val="12"/>
      <name val="Arial Narrow"/>
      <family val="2"/>
    </font>
    <font>
      <sz val="12"/>
      <color rgb="FFFF0000"/>
      <name val="Arial Narrow"/>
      <family val="2"/>
    </font>
    <font>
      <b/>
      <sz val="12"/>
      <color rgb="FFFF0000"/>
      <name val="Arial Narrow"/>
      <family val="2"/>
    </font>
    <font>
      <b/>
      <sz val="12"/>
      <color indexed="81"/>
      <name val="Tahoma"/>
      <family val="2"/>
    </font>
    <font>
      <u/>
      <sz val="10"/>
      <color theme="10"/>
      <name val="Arial"/>
      <family val="2"/>
    </font>
    <font>
      <b/>
      <sz val="12"/>
      <name val="Arial"/>
      <family val="2"/>
    </font>
    <font>
      <sz val="12"/>
      <name val="Arial"/>
      <family val="2"/>
    </font>
    <font>
      <u/>
      <sz val="12"/>
      <color theme="10"/>
      <name val="Arial"/>
      <family val="2"/>
    </font>
    <font>
      <b/>
      <i/>
      <sz val="12"/>
      <name val="Arial"/>
      <family val="2"/>
    </font>
    <font>
      <sz val="12"/>
      <name val="Times New Roman"/>
      <family val="1"/>
    </font>
    <font>
      <sz val="12"/>
      <color indexed="12"/>
      <name val="Calibri"/>
      <family val="2"/>
      <scheme val="minor"/>
    </font>
    <font>
      <sz val="12"/>
      <color rgb="FF0070C0"/>
      <name val="Calibri"/>
      <family val="2"/>
      <scheme val="minor"/>
    </font>
    <font>
      <sz val="12"/>
      <color theme="1"/>
      <name val="Arial Narrow"/>
      <family val="2"/>
    </font>
  </fonts>
  <fills count="4">
    <fill>
      <patternFill patternType="none"/>
    </fill>
    <fill>
      <patternFill patternType="gray125"/>
    </fill>
    <fill>
      <patternFill patternType="solid">
        <fgColor rgb="FFFFEB9C"/>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s>
  <cellStyleXfs count="7">
    <xf numFmtId="0" fontId="0" fillId="0" borderId="0"/>
    <xf numFmtId="9" fontId="3" fillId="0" borderId="0" applyFont="0" applyFill="0" applyBorder="0" applyAlignment="0" applyProtection="0"/>
    <xf numFmtId="0" fontId="3" fillId="0" borderId="0"/>
    <xf numFmtId="0" fontId="3" fillId="0" borderId="0"/>
    <xf numFmtId="164" fontId="7"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cellStyleXfs>
  <cellXfs count="70">
    <xf numFmtId="0" fontId="0" fillId="0" borderId="0" xfId="0"/>
    <xf numFmtId="0" fontId="1" fillId="0" borderId="0" xfId="0" applyFont="1"/>
    <xf numFmtId="0" fontId="1" fillId="0" borderId="0" xfId="0" applyFont="1" applyBorder="1"/>
    <xf numFmtId="0" fontId="2" fillId="0" borderId="0" xfId="0" applyFont="1"/>
    <xf numFmtId="165" fontId="0" fillId="0" borderId="0" xfId="0" applyNumberFormat="1"/>
    <xf numFmtId="0" fontId="3" fillId="0" borderId="0" xfId="0" applyFont="1"/>
    <xf numFmtId="9" fontId="5" fillId="0" borderId="0" xfId="1" applyFont="1"/>
    <xf numFmtId="37" fontId="6" fillId="0" borderId="0" xfId="0" applyNumberFormat="1" applyFont="1" applyProtection="1">
      <protection locked="0"/>
    </xf>
    <xf numFmtId="171" fontId="5" fillId="0" borderId="0" xfId="1" applyNumberFormat="1" applyFont="1"/>
    <xf numFmtId="0" fontId="8" fillId="0" borderId="0" xfId="0" applyFont="1"/>
    <xf numFmtId="0" fontId="9" fillId="0" borderId="0" xfId="0" applyFont="1"/>
    <xf numFmtId="169" fontId="8" fillId="0" borderId="0" xfId="0" applyNumberFormat="1" applyFont="1"/>
    <xf numFmtId="0" fontId="10" fillId="0" borderId="0" xfId="0" applyFont="1"/>
    <xf numFmtId="17" fontId="8" fillId="0" borderId="0" xfId="0" applyNumberFormat="1" applyFont="1"/>
    <xf numFmtId="0" fontId="11" fillId="0" borderId="2" xfId="0" applyFont="1" applyBorder="1"/>
    <xf numFmtId="0" fontId="11" fillId="0" borderId="2" xfId="0" quotePrefix="1" applyFont="1" applyBorder="1"/>
    <xf numFmtId="0" fontId="8" fillId="0" borderId="0" xfId="0" applyFont="1" applyAlignment="1">
      <alignment horizontal="center"/>
    </xf>
    <xf numFmtId="0" fontId="11" fillId="0" borderId="0" xfId="0" applyFont="1"/>
    <xf numFmtId="1" fontId="8" fillId="0" borderId="0" xfId="0" applyNumberFormat="1" applyFont="1"/>
    <xf numFmtId="165" fontId="8" fillId="0" borderId="0" xfId="0" applyNumberFormat="1" applyFont="1"/>
    <xf numFmtId="3" fontId="8" fillId="0" borderId="0" xfId="0" applyNumberFormat="1" applyFont="1"/>
    <xf numFmtId="171" fontId="8" fillId="0" borderId="0" xfId="1" applyNumberFormat="1" applyFont="1"/>
    <xf numFmtId="0" fontId="12" fillId="0" borderId="0" xfId="0" applyFont="1"/>
    <xf numFmtId="9" fontId="11" fillId="0" borderId="0" xfId="1" applyFont="1"/>
    <xf numFmtId="1" fontId="13" fillId="0" borderId="2" xfId="0" applyNumberFormat="1" applyFont="1" applyBorder="1" applyAlignment="1" applyProtection="1">
      <alignment horizontal="center"/>
    </xf>
    <xf numFmtId="1" fontId="14" fillId="0" borderId="2" xfId="0" applyNumberFormat="1" applyFont="1" applyBorder="1" applyAlignment="1" applyProtection="1">
      <alignment horizontal="center"/>
    </xf>
    <xf numFmtId="172" fontId="8" fillId="0" borderId="0" xfId="4" applyNumberFormat="1" applyFont="1"/>
    <xf numFmtId="0" fontId="11" fillId="0" borderId="2" xfId="0" applyFont="1" applyBorder="1" applyAlignment="1">
      <alignment horizontal="center"/>
    </xf>
    <xf numFmtId="0" fontId="8" fillId="0" borderId="0" xfId="0" applyFont="1" applyBorder="1"/>
    <xf numFmtId="0" fontId="6" fillId="0" borderId="0" xfId="0" applyFont="1"/>
    <xf numFmtId="166" fontId="8" fillId="0" borderId="0" xfId="0" applyNumberFormat="1" applyFont="1" applyAlignment="1" applyProtection="1">
      <alignment horizontal="left"/>
    </xf>
    <xf numFmtId="167" fontId="8" fillId="0" borderId="0" xfId="0" applyNumberFormat="1" applyFont="1" applyProtection="1"/>
    <xf numFmtId="0" fontId="8" fillId="0" borderId="1" xfId="0" applyFont="1" applyBorder="1"/>
    <xf numFmtId="168" fontId="8" fillId="0" borderId="0" xfId="0" applyNumberFormat="1" applyFont="1" applyProtection="1"/>
    <xf numFmtId="166" fontId="8" fillId="0" borderId="0" xfId="0" applyNumberFormat="1" applyFont="1" applyProtection="1"/>
    <xf numFmtId="170" fontId="8" fillId="0" borderId="0" xfId="0" applyNumberFormat="1" applyFont="1" applyProtection="1"/>
    <xf numFmtId="0" fontId="13" fillId="0" borderId="2" xfId="0" applyFont="1" applyBorder="1" applyAlignment="1">
      <alignment horizontal="center"/>
    </xf>
    <xf numFmtId="166" fontId="11" fillId="0" borderId="1" xfId="0" applyNumberFormat="1" applyFont="1" applyBorder="1" applyAlignment="1" applyProtection="1">
      <alignment horizontal="center"/>
    </xf>
    <xf numFmtId="0" fontId="11" fillId="0" borderId="1" xfId="0" applyFont="1" applyBorder="1" applyAlignment="1">
      <alignment horizontal="left"/>
    </xf>
    <xf numFmtId="0" fontId="11" fillId="0" borderId="1" xfId="0" applyFont="1" applyBorder="1" applyAlignment="1">
      <alignment horizontal="center"/>
    </xf>
    <xf numFmtId="0" fontId="11" fillId="0" borderId="1" xfId="0" applyFont="1" applyBorder="1" applyAlignment="1" applyProtection="1">
      <alignment horizontal="center"/>
    </xf>
    <xf numFmtId="170" fontId="11" fillId="0" borderId="1" xfId="0" applyNumberFormat="1" applyFont="1" applyBorder="1" applyAlignment="1" applyProtection="1">
      <alignment horizontal="center"/>
    </xf>
    <xf numFmtId="167" fontId="11" fillId="0" borderId="1" xfId="0" applyNumberFormat="1" applyFont="1" applyBorder="1" applyAlignment="1" applyProtection="1">
      <alignment horizontal="center"/>
    </xf>
    <xf numFmtId="14" fontId="8" fillId="0" borderId="0" xfId="0" applyNumberFormat="1" applyFont="1"/>
    <xf numFmtId="1" fontId="10" fillId="0" borderId="0" xfId="0" applyNumberFormat="1" applyFont="1"/>
    <xf numFmtId="0" fontId="16" fillId="0" borderId="0" xfId="0" applyFont="1"/>
    <xf numFmtId="168" fontId="16" fillId="0" borderId="0" xfId="0" applyNumberFormat="1" applyFont="1"/>
    <xf numFmtId="0" fontId="17" fillId="0" borderId="0" xfId="0" applyFont="1"/>
    <xf numFmtId="0" fontId="8" fillId="0" borderId="0" xfId="3" applyFont="1"/>
    <xf numFmtId="2" fontId="8" fillId="0" borderId="0" xfId="0" applyNumberFormat="1" applyFont="1"/>
    <xf numFmtId="0" fontId="3" fillId="0" borderId="0" xfId="3" applyFont="1"/>
    <xf numFmtId="0" fontId="3" fillId="0" borderId="0" xfId="3" applyFont="1" applyAlignment="1">
      <alignment wrapText="1"/>
    </xf>
    <xf numFmtId="0" fontId="20" fillId="0" borderId="0" xfId="3" applyFont="1"/>
    <xf numFmtId="0" fontId="8" fillId="0" borderId="0" xfId="3" applyFont="1" applyAlignment="1">
      <alignment vertical="top"/>
    </xf>
    <xf numFmtId="0" fontId="21" fillId="0" borderId="0" xfId="3" applyFont="1" applyAlignment="1">
      <alignment horizontal="left" vertical="top" wrapText="1"/>
    </xf>
    <xf numFmtId="0" fontId="21" fillId="0" borderId="0" xfId="3" applyFont="1" applyAlignment="1">
      <alignment vertical="top"/>
    </xf>
    <xf numFmtId="0" fontId="21" fillId="0" borderId="0" xfId="3" applyFont="1" applyAlignment="1">
      <alignment vertical="top" wrapText="1"/>
    </xf>
    <xf numFmtId="0" fontId="21" fillId="0" borderId="0" xfId="3" applyFont="1"/>
    <xf numFmtId="0" fontId="21" fillId="0" borderId="0" xfId="3" applyFont="1" applyAlignment="1">
      <alignment wrapText="1"/>
    </xf>
    <xf numFmtId="0" fontId="24" fillId="0" borderId="0" xfId="0" applyFont="1" applyAlignment="1">
      <alignment vertical="center"/>
    </xf>
    <xf numFmtId="0" fontId="10" fillId="3" borderId="0" xfId="0" applyFont="1" applyFill="1"/>
    <xf numFmtId="3" fontId="25" fillId="0" borderId="0" xfId="0" applyNumberFormat="1" applyFont="1"/>
    <xf numFmtId="14" fontId="26" fillId="0" borderId="0" xfId="0" applyNumberFormat="1" applyFont="1"/>
    <xf numFmtId="0" fontId="27" fillId="0" borderId="0" xfId="0" applyFont="1" applyAlignment="1">
      <alignment horizontal="center"/>
    </xf>
    <xf numFmtId="0" fontId="20" fillId="2" borderId="3" xfId="6" applyFont="1" applyFill="1" applyBorder="1" applyAlignment="1">
      <alignment horizontal="center"/>
    </xf>
    <xf numFmtId="0" fontId="3" fillId="0" borderId="0" xfId="3"/>
    <xf numFmtId="0" fontId="21" fillId="0" borderId="0" xfId="6" applyFont="1" applyFill="1" applyAlignment="1">
      <alignment horizontal="left"/>
    </xf>
    <xf numFmtId="173" fontId="22" fillId="0" borderId="4" xfId="5" applyNumberFormat="1" applyFont="1" applyFill="1" applyBorder="1" applyAlignment="1" applyProtection="1">
      <alignment horizontal="left"/>
    </xf>
    <xf numFmtId="173" fontId="22" fillId="0" borderId="0" xfId="5" applyNumberFormat="1" applyFont="1" applyFill="1" applyBorder="1" applyAlignment="1" applyProtection="1">
      <alignment horizontal="left"/>
    </xf>
    <xf numFmtId="0" fontId="8" fillId="0" borderId="0" xfId="3" applyFont="1" applyAlignment="1">
      <alignment horizontal="left" vertical="top" wrapText="1"/>
    </xf>
  </cellXfs>
  <cellStyles count="7">
    <cellStyle name="Comma" xfId="4" builtinId="3"/>
    <cellStyle name="Hyperlink" xfId="5" builtinId="8"/>
    <cellStyle name="Normal" xfId="0" builtinId="0"/>
    <cellStyle name="Normal 2" xfId="3"/>
    <cellStyle name="Normal 2 2" xfId="2"/>
    <cellStyle name="Normal 3 2 2" xfId="6"/>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06"/>
          <c:y val="8.7542375389229973E-2"/>
          <c:w val="0.74238960771645368"/>
          <c:h val="0.64309975766703464"/>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Method!$O$8:$O$24</c:f>
              <c:numCache>
                <c:formatCode>0.00000</c:formatCode>
                <c:ptCount val="17"/>
                <c:pt idx="0">
                  <c:v>0</c:v>
                </c:pt>
                <c:pt idx="1">
                  <c:v>1.1440842475661808E-2</c:v>
                </c:pt>
                <c:pt idx="2">
                  <c:v>1.2787215239525732E-2</c:v>
                </c:pt>
                <c:pt idx="3">
                  <c:v>1.4598779984960526E-2</c:v>
                </c:pt>
                <c:pt idx="4">
                  <c:v>1.6873855526218871E-2</c:v>
                </c:pt>
                <c:pt idx="5">
                  <c:v>1.89441864137481E-2</c:v>
                </c:pt>
                <c:pt idx="6">
                  <c:v>2.0223699086813773E-2</c:v>
                </c:pt>
                <c:pt idx="7">
                  <c:v>2.1194330996060325E-2</c:v>
                </c:pt>
                <c:pt idx="8">
                  <c:v>2.294590273695889E-2</c:v>
                </c:pt>
                <c:pt idx="9">
                  <c:v>2.5724197441756178E-2</c:v>
                </c:pt>
                <c:pt idx="10">
                  <c:v>2.9728604410774705E-2</c:v>
                </c:pt>
                <c:pt idx="11">
                  <c:v>3.497188604967371E-2</c:v>
                </c:pt>
                <c:pt idx="12">
                  <c:v>4.1575449865993749E-2</c:v>
                </c:pt>
                <c:pt idx="13">
                  <c:v>5.039858206908928E-2</c:v>
                </c:pt>
                <c:pt idx="14">
                  <c:v>6.2320874426798775E-2</c:v>
                </c:pt>
                <c:pt idx="15">
                  <c:v>7.9371826319088304E-2</c:v>
                </c:pt>
                <c:pt idx="16">
                  <c:v>0.10008096529640902</c:v>
                </c:pt>
              </c:numCache>
            </c:numRef>
          </c:xVal>
          <c:yVal>
            <c:numRef>
              <c:f>Method!$P$8:$P$24</c:f>
              <c:numCache>
                <c:formatCode>0.00000</c:formatCode>
                <c:ptCount val="17"/>
                <c:pt idx="1">
                  <c:v>9.8629908888223251E-3</c:v>
                </c:pt>
                <c:pt idx="2">
                  <c:v>1.3097861621893891E-2</c:v>
                </c:pt>
                <c:pt idx="3">
                  <c:v>1.5401713821539788E-2</c:v>
                </c:pt>
                <c:pt idx="4">
                  <c:v>1.7208722735028596E-2</c:v>
                </c:pt>
                <c:pt idx="5">
                  <c:v>1.8088300103211389E-2</c:v>
                </c:pt>
                <c:pt idx="6">
                  <c:v>1.9447266600518848E-2</c:v>
                </c:pt>
                <c:pt idx="7">
                  <c:v>2.0167609233445641E-2</c:v>
                </c:pt>
                <c:pt idx="8">
                  <c:v>2.2097782787135797E-2</c:v>
                </c:pt>
                <c:pt idx="9">
                  <c:v>2.3989880440957831E-2</c:v>
                </c:pt>
                <c:pt idx="10">
                  <c:v>2.7318720344600193E-2</c:v>
                </c:pt>
                <c:pt idx="11">
                  <c:v>3.3255100892340461E-2</c:v>
                </c:pt>
                <c:pt idx="12">
                  <c:v>4.2361480715747517E-2</c:v>
                </c:pt>
                <c:pt idx="13">
                  <c:v>5.4682933062554492E-2</c:v>
                </c:pt>
                <c:pt idx="14">
                  <c:v>6.8157961782722321E-2</c:v>
                </c:pt>
                <c:pt idx="15">
                  <c:v>8.6621622101277163E-2</c:v>
                </c:pt>
                <c:pt idx="16">
                  <c:v>0.10788645955153339</c:v>
                </c:pt>
              </c:numCache>
            </c:numRef>
          </c:yVal>
          <c:smooth val="0"/>
        </c:ser>
        <c:ser>
          <c:idx val="1"/>
          <c:order val="1"/>
          <c:tx>
            <c:v>Fitted</c:v>
          </c:tx>
          <c:spPr>
            <a:ln w="12700">
              <a:solidFill>
                <a:srgbClr val="FF00FF"/>
              </a:solidFill>
              <a:prstDash val="solid"/>
            </a:ln>
          </c:spPr>
          <c:marker>
            <c:symbol val="none"/>
          </c:marker>
          <c:xVal>
            <c:numRef>
              <c:f>Method!$O$8:$O$24</c:f>
              <c:numCache>
                <c:formatCode>0.00000</c:formatCode>
                <c:ptCount val="17"/>
                <c:pt idx="0">
                  <c:v>0</c:v>
                </c:pt>
                <c:pt idx="1">
                  <c:v>1.1440842475661808E-2</c:v>
                </c:pt>
                <c:pt idx="2">
                  <c:v>1.2787215239525732E-2</c:v>
                </c:pt>
                <c:pt idx="3">
                  <c:v>1.4598779984960526E-2</c:v>
                </c:pt>
                <c:pt idx="4">
                  <c:v>1.6873855526218871E-2</c:v>
                </c:pt>
                <c:pt idx="5">
                  <c:v>1.89441864137481E-2</c:v>
                </c:pt>
                <c:pt idx="6">
                  <c:v>2.0223699086813773E-2</c:v>
                </c:pt>
                <c:pt idx="7">
                  <c:v>2.1194330996060325E-2</c:v>
                </c:pt>
                <c:pt idx="8">
                  <c:v>2.294590273695889E-2</c:v>
                </c:pt>
                <c:pt idx="9">
                  <c:v>2.5724197441756178E-2</c:v>
                </c:pt>
                <c:pt idx="10">
                  <c:v>2.9728604410774705E-2</c:v>
                </c:pt>
                <c:pt idx="11">
                  <c:v>3.497188604967371E-2</c:v>
                </c:pt>
                <c:pt idx="12">
                  <c:v>4.1575449865993749E-2</c:v>
                </c:pt>
                <c:pt idx="13">
                  <c:v>5.039858206908928E-2</c:v>
                </c:pt>
                <c:pt idx="14">
                  <c:v>6.2320874426798775E-2</c:v>
                </c:pt>
                <c:pt idx="15">
                  <c:v>7.9371826319088304E-2</c:v>
                </c:pt>
                <c:pt idx="16">
                  <c:v>0.10008096529640902</c:v>
                </c:pt>
              </c:numCache>
            </c:numRef>
          </c:xVal>
          <c:yVal>
            <c:numRef>
              <c:f>Method!$Q$8:$Q$24</c:f>
              <c:numCache>
                <c:formatCode>0.000</c:formatCode>
                <c:ptCount val="17"/>
                <c:pt idx="0">
                  <c:v>-3.0733096622935774E-3</c:v>
                </c:pt>
                <c:pt idx="1">
                  <c:v>9.7009506987808247E-3</c:v>
                </c:pt>
                <c:pt idx="2">
                  <c:v>1.1204241760190374E-2</c:v>
                </c:pt>
                <c:pt idx="3">
                  <c:v>1.3226942428288584E-2</c:v>
                </c:pt>
                <c:pt idx="4">
                  <c:v>1.5767175576937475E-2</c:v>
                </c:pt>
                <c:pt idx="5">
                  <c:v>1.8078801302676941E-2</c:v>
                </c:pt>
                <c:pt idx="6">
                  <c:v>1.9507439801616653E-2</c:v>
                </c:pt>
                <c:pt idx="7">
                  <c:v>2.0591197815928875E-2</c:v>
                </c:pt>
                <c:pt idx="8">
                  <c:v>2.254691335933726E-2</c:v>
                </c:pt>
                <c:pt idx="9">
                  <c:v>2.5649015323801365E-2</c:v>
                </c:pt>
                <c:pt idx="10">
                  <c:v>3.0120131618144405E-2</c:v>
                </c:pt>
                <c:pt idx="11">
                  <c:v>3.597451209267867E-2</c:v>
                </c:pt>
                <c:pt idx="12">
                  <c:v>4.33477141693695E-2</c:v>
                </c:pt>
                <c:pt idx="13">
                  <c:v>5.3199172941071758E-2</c:v>
                </c:pt>
                <c:pt idx="14">
                  <c:v>6.6510995650126123E-2</c:v>
                </c:pt>
                <c:pt idx="15">
                  <c:v>8.5549217646418499E-2</c:v>
                </c:pt>
                <c:pt idx="16">
                  <c:v>0.10867198449796245</c:v>
                </c:pt>
              </c:numCache>
            </c:numRef>
          </c:yVal>
          <c:smooth val="0"/>
        </c:ser>
        <c:dLbls>
          <c:showLegendKey val="0"/>
          <c:showVal val="0"/>
          <c:showCatName val="0"/>
          <c:showSerName val="0"/>
          <c:showPercent val="0"/>
          <c:showBubbleSize val="0"/>
        </c:dLbls>
        <c:axId val="57518336"/>
        <c:axId val="57518912"/>
      </c:scatterChart>
      <c:valAx>
        <c:axId val="5751833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5008"/>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7518912"/>
        <c:crosses val="autoZero"/>
        <c:crossBetween val="midCat"/>
      </c:valAx>
      <c:valAx>
        <c:axId val="5751891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0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7518336"/>
        <c:crosses val="autoZero"/>
        <c:crossBetween val="midCat"/>
      </c:valAx>
      <c:spPr>
        <a:noFill/>
        <a:ln w="12700">
          <a:solidFill>
            <a:srgbClr val="808080"/>
          </a:solidFill>
          <a:prstDash val="solid"/>
        </a:ln>
      </c:spPr>
    </c:plotArea>
    <c:legend>
      <c:legendPos val="b"/>
      <c:layout>
        <c:manualLayout>
          <c:xMode val="edge"/>
          <c:yMode val="edge"/>
          <c:x val="0.4168623184397055"/>
          <c:y val="0.89899272691923549"/>
          <c:w val="0.30444989458285276"/>
          <c:h val="7.7441430932245148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23304645058597"/>
          <c:y val="3.6666666666666681E-2"/>
        </c:manualLayout>
      </c:layout>
      <c:overlay val="0"/>
      <c:spPr>
        <a:noFill/>
        <a:ln w="25400">
          <a:noFill/>
        </a:ln>
      </c:spPr>
      <c:txPr>
        <a:bodyPr/>
        <a:lstStyle/>
        <a:p>
          <a:pPr>
            <a:defRPr sz="87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4418621024051817"/>
          <c:y val="0.20000065104378587"/>
          <c:w val="0.79767532439513111"/>
          <c:h val="0.71666899957357111"/>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Method!$O$9:$O$24</c:f>
              <c:numCache>
                <c:formatCode>0.00000</c:formatCode>
                <c:ptCount val="16"/>
                <c:pt idx="0">
                  <c:v>1.1440842475661808E-2</c:v>
                </c:pt>
                <c:pt idx="1">
                  <c:v>1.2787215239525732E-2</c:v>
                </c:pt>
                <c:pt idx="2">
                  <c:v>1.4598779984960526E-2</c:v>
                </c:pt>
                <c:pt idx="3">
                  <c:v>1.6873855526218871E-2</c:v>
                </c:pt>
                <c:pt idx="4">
                  <c:v>1.89441864137481E-2</c:v>
                </c:pt>
                <c:pt idx="5">
                  <c:v>2.0223699086813773E-2</c:v>
                </c:pt>
                <c:pt idx="6">
                  <c:v>2.1194330996060325E-2</c:v>
                </c:pt>
                <c:pt idx="7">
                  <c:v>2.294590273695889E-2</c:v>
                </c:pt>
                <c:pt idx="8">
                  <c:v>2.5724197441756178E-2</c:v>
                </c:pt>
                <c:pt idx="9">
                  <c:v>2.9728604410774705E-2</c:v>
                </c:pt>
                <c:pt idx="10">
                  <c:v>3.497188604967371E-2</c:v>
                </c:pt>
                <c:pt idx="11">
                  <c:v>4.1575449865993749E-2</c:v>
                </c:pt>
                <c:pt idx="12">
                  <c:v>5.039858206908928E-2</c:v>
                </c:pt>
                <c:pt idx="13">
                  <c:v>6.2320874426798775E-2</c:v>
                </c:pt>
                <c:pt idx="14">
                  <c:v>7.9371826319088304E-2</c:v>
                </c:pt>
                <c:pt idx="15">
                  <c:v>0.10008096529640902</c:v>
                </c:pt>
              </c:numCache>
            </c:numRef>
          </c:xVal>
          <c:yVal>
            <c:numRef>
              <c:f>Method!$R$9:$R$24</c:f>
              <c:numCache>
                <c:formatCode>0.000</c:formatCode>
                <c:ptCount val="16"/>
                <c:pt idx="0">
                  <c:v>1.6204019004150035E-4</c:v>
                </c:pt>
                <c:pt idx="1">
                  <c:v>1.8936198617035167E-3</c:v>
                </c:pt>
                <c:pt idx="2">
                  <c:v>2.1747713932512049E-3</c:v>
                </c:pt>
                <c:pt idx="3">
                  <c:v>1.4415471580911214E-3</c:v>
                </c:pt>
                <c:pt idx="4">
                  <c:v>9.4988005344479043E-6</c:v>
                </c:pt>
                <c:pt idx="5">
                  <c:v>-6.0173201097805246E-5</c:v>
                </c:pt>
                <c:pt idx="6">
                  <c:v>-4.235885824832343E-4</c:v>
                </c:pt>
                <c:pt idx="7">
                  <c:v>-4.4913057220146227E-4</c:v>
                </c:pt>
                <c:pt idx="8">
                  <c:v>-1.659134882843534E-3</c:v>
                </c:pt>
                <c:pt idx="9">
                  <c:v>-2.8014112735442118E-3</c:v>
                </c:pt>
                <c:pt idx="10">
                  <c:v>-2.7194112003382093E-3</c:v>
                </c:pt>
                <c:pt idx="11">
                  <c:v>-9.8623345362198328E-4</c:v>
                </c:pt>
                <c:pt idx="12">
                  <c:v>1.4837601214827342E-3</c:v>
                </c:pt>
                <c:pt idx="13">
                  <c:v>1.6469661325961976E-3</c:v>
                </c:pt>
                <c:pt idx="14">
                  <c:v>1.0724044548586636E-3</c:v>
                </c:pt>
                <c:pt idx="15">
                  <c:v>-7.855249464290559E-4</c:v>
                </c:pt>
              </c:numCache>
            </c:numRef>
          </c:yVal>
          <c:smooth val="0"/>
        </c:ser>
        <c:dLbls>
          <c:showLegendKey val="0"/>
          <c:showVal val="0"/>
          <c:showCatName val="0"/>
          <c:showSerName val="0"/>
          <c:showPercent val="0"/>
          <c:showBubbleSize val="0"/>
        </c:dLbls>
        <c:axId val="57520640"/>
        <c:axId val="59990016"/>
      </c:scatterChart>
      <c:valAx>
        <c:axId val="57520640"/>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9990016"/>
        <c:crosses val="autoZero"/>
        <c:crossBetween val="midCat"/>
      </c:valAx>
      <c:valAx>
        <c:axId val="59990016"/>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752064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27516685352205E-2"/>
          <c:y val="5.9548314325103414E-2"/>
          <c:w val="0.78725565569054501"/>
          <c:h val="0.7289535029452312"/>
        </c:manualLayout>
      </c:layout>
      <c:scatterChart>
        <c:scatterStyle val="lineMarker"/>
        <c:varyColors val="0"/>
        <c:ser>
          <c:idx val="0"/>
          <c:order val="0"/>
          <c:tx>
            <c:strRef>
              <c:f>Method!$AH$6</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Method!$AK$10:$AK$24</c:f>
              <c:numCache>
                <c:formatCode>0.0000_)</c:formatCode>
                <c:ptCount val="15"/>
                <c:pt idx="0">
                  <c:v>-2.2462016841372945</c:v>
                </c:pt>
                <c:pt idx="1">
                  <c:v>-1.9563659658241628</c:v>
                </c:pt>
                <c:pt idx="2">
                  <c:v>-1.7059193611185397</c:v>
                </c:pt>
                <c:pt idx="3">
                  <c:v>-1.4933942877950264</c:v>
                </c:pt>
                <c:pt idx="4">
                  <c:v>-1.322374167401569</c:v>
                </c:pt>
                <c:pt idx="5">
                  <c:v>-1.1759203002186396</c:v>
                </c:pt>
                <c:pt idx="6">
                  <c:v>-1.0436376073759615</c:v>
                </c:pt>
                <c:pt idx="7">
                  <c:v>-0.91851510163017136</c:v>
                </c:pt>
                <c:pt idx="8">
                  <c:v>-0.79195779879778738</c:v>
                </c:pt>
                <c:pt idx="9">
                  <c:v>-0.65092637231151285</c:v>
                </c:pt>
                <c:pt idx="10">
                  <c:v>-0.49424561158916708</c:v>
                </c:pt>
                <c:pt idx="11">
                  <c:v>-0.30700873428456527</c:v>
                </c:pt>
                <c:pt idx="12">
                  <c:v>-8.5434206256291181E-2</c:v>
                </c:pt>
                <c:pt idx="13">
                  <c:v>0.18974509075837159</c:v>
                </c:pt>
                <c:pt idx="14">
                  <c:v>0.5371957888255825</c:v>
                </c:pt>
              </c:numCache>
            </c:numRef>
          </c:xVal>
          <c:yVal>
            <c:numRef>
              <c:f>Method!$AH$10:$AH$24</c:f>
              <c:numCache>
                <c:formatCode>0.0000_)</c:formatCode>
                <c:ptCount val="15"/>
                <c:pt idx="0">
                  <c:v>-2.6086272172821037</c:v>
                </c:pt>
                <c:pt idx="1">
                  <c:v>-2.3416484066630652</c:v>
                </c:pt>
                <c:pt idx="2">
                  <c:v>-1.9767274383372515</c:v>
                </c:pt>
                <c:pt idx="3">
                  <c:v>-1.4565686184734554</c:v>
                </c:pt>
                <c:pt idx="4">
                  <c:v>-1.0158715182486366</c:v>
                </c:pt>
                <c:pt idx="5">
                  <c:v>-0.72452526821529117</c:v>
                </c:pt>
                <c:pt idx="6">
                  <c:v>-0.54430653430128473</c:v>
                </c:pt>
                <c:pt idx="7">
                  <c:v>-0.41183379411046805</c:v>
                </c:pt>
                <c:pt idx="8">
                  <c:v>-0.30284700543231702</c:v>
                </c:pt>
                <c:pt idx="9">
                  <c:v>-0.19918010799153893</c:v>
                </c:pt>
                <c:pt idx="10">
                  <c:v>-9.4461209259283987E-2</c:v>
                </c:pt>
                <c:pt idx="11">
                  <c:v>2.4694678125315062E-2</c:v>
                </c:pt>
                <c:pt idx="12">
                  <c:v>0.16543366076424143</c:v>
                </c:pt>
                <c:pt idx="13">
                  <c:v>0.33649527628800302</c:v>
                </c:pt>
                <c:pt idx="14">
                  <c:v>0.55495373770672207</c:v>
                </c:pt>
              </c:numCache>
            </c:numRef>
          </c:yVal>
          <c:smooth val="0"/>
        </c:ser>
        <c:ser>
          <c:idx val="1"/>
          <c:order val="1"/>
          <c:tx>
            <c:strRef>
              <c:f>Method!$AL$6</c:f>
              <c:strCache>
                <c:ptCount val="1"/>
                <c:pt idx="0">
                  <c:v>Fitted Y(x)</c:v>
                </c:pt>
              </c:strCache>
            </c:strRef>
          </c:tx>
          <c:spPr>
            <a:ln w="12700">
              <a:solidFill>
                <a:srgbClr val="FF00FF"/>
              </a:solidFill>
              <a:prstDash val="solid"/>
            </a:ln>
          </c:spPr>
          <c:marker>
            <c:symbol val="none"/>
          </c:marker>
          <c:xVal>
            <c:numRef>
              <c:f>Method!$AK$10:$AK$24</c:f>
              <c:numCache>
                <c:formatCode>0.0000_)</c:formatCode>
                <c:ptCount val="15"/>
                <c:pt idx="0">
                  <c:v>-2.2462016841372945</c:v>
                </c:pt>
                <c:pt idx="1">
                  <c:v>-1.9563659658241628</c:v>
                </c:pt>
                <c:pt idx="2">
                  <c:v>-1.7059193611185397</c:v>
                </c:pt>
                <c:pt idx="3">
                  <c:v>-1.4933942877950264</c:v>
                </c:pt>
                <c:pt idx="4">
                  <c:v>-1.322374167401569</c:v>
                </c:pt>
                <c:pt idx="5">
                  <c:v>-1.1759203002186396</c:v>
                </c:pt>
                <c:pt idx="6">
                  <c:v>-1.0436376073759615</c:v>
                </c:pt>
                <c:pt idx="7">
                  <c:v>-0.91851510163017136</c:v>
                </c:pt>
                <c:pt idx="8">
                  <c:v>-0.79195779879778738</c:v>
                </c:pt>
                <c:pt idx="9">
                  <c:v>-0.65092637231151285</c:v>
                </c:pt>
                <c:pt idx="10">
                  <c:v>-0.49424561158916708</c:v>
                </c:pt>
                <c:pt idx="11">
                  <c:v>-0.30700873428456527</c:v>
                </c:pt>
                <c:pt idx="12">
                  <c:v>-8.5434206256291181E-2</c:v>
                </c:pt>
                <c:pt idx="13">
                  <c:v>0.18974509075837159</c:v>
                </c:pt>
                <c:pt idx="14">
                  <c:v>0.5371957888255825</c:v>
                </c:pt>
              </c:numCache>
            </c:numRef>
          </c:xVal>
          <c:yVal>
            <c:numRef>
              <c:f>Method!$AL$10:$AL$24</c:f>
              <c:numCache>
                <c:formatCode>0.0000_)</c:formatCode>
                <c:ptCount val="15"/>
                <c:pt idx="0">
                  <c:v>-1.2536576560152684</c:v>
                </c:pt>
                <c:pt idx="1">
                  <c:v>-1.0641197418992949</c:v>
                </c:pt>
                <c:pt idx="2">
                  <c:v>-0.90034031771511946</c:v>
                </c:pt>
                <c:pt idx="3">
                  <c:v>-0.76135965884558776</c:v>
                </c:pt>
                <c:pt idx="4">
                  <c:v>-0.64952114190952681</c:v>
                </c:pt>
                <c:pt idx="5">
                  <c:v>-0.55374771321817229</c:v>
                </c:pt>
                <c:pt idx="6">
                  <c:v>-0.46724151646309392</c:v>
                </c:pt>
                <c:pt idx="7">
                  <c:v>-0.38541772025865456</c:v>
                </c:pt>
                <c:pt idx="8">
                  <c:v>-0.3026556392611765</c:v>
                </c:pt>
                <c:pt idx="9">
                  <c:v>-0.21042821278460472</c:v>
                </c:pt>
                <c:pt idx="10">
                  <c:v>-0.10796691249264595</c:v>
                </c:pt>
                <c:pt idx="11">
                  <c:v>1.4476544015919246E-2</c:v>
                </c:pt>
                <c:pt idx="12">
                  <c:v>0.15937508898523889</c:v>
                </c:pt>
                <c:pt idx="13">
                  <c:v>0.33932844417422914</c:v>
                </c:pt>
                <c:pt idx="14">
                  <c:v>0.56654364371236809</c:v>
                </c:pt>
              </c:numCache>
            </c:numRef>
          </c:yVal>
          <c:smooth val="0"/>
        </c:ser>
        <c:dLbls>
          <c:showLegendKey val="0"/>
          <c:showVal val="0"/>
          <c:showCatName val="0"/>
          <c:showSerName val="0"/>
          <c:showPercent val="0"/>
          <c:showBubbleSize val="0"/>
        </c:dLbls>
        <c:axId val="59992320"/>
        <c:axId val="60228160"/>
      </c:scatterChart>
      <c:valAx>
        <c:axId val="5999232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0583089078"/>
              <c:y val="0.8172493222741458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60228160"/>
        <c:crosses val="autoZero"/>
        <c:crossBetween val="midCat"/>
      </c:valAx>
      <c:valAx>
        <c:axId val="60228160"/>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2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59992320"/>
        <c:crosses val="autoZero"/>
        <c:crossBetween val="midCat"/>
      </c:valAx>
      <c:spPr>
        <a:noFill/>
        <a:ln w="25400">
          <a:noFill/>
        </a:ln>
      </c:spPr>
    </c:plotArea>
    <c:legend>
      <c:legendPos val="b"/>
      <c:layout>
        <c:manualLayout>
          <c:xMode val="edge"/>
          <c:yMode val="edge"/>
          <c:x val="0.34117677937317004"/>
          <c:y val="0.92402550297229269"/>
          <c:w val="0.23823549997426957"/>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304E-2"/>
          <c:w val="0.63851371287392689"/>
          <c:h val="0.82426054102108159"/>
        </c:manualLayout>
      </c:layout>
      <c:scatterChart>
        <c:scatterStyle val="lineMarker"/>
        <c:varyColors val="0"/>
        <c:ser>
          <c:idx val="1"/>
          <c:order val="0"/>
          <c:tx>
            <c:v>Adjusted observed rates</c:v>
          </c:tx>
          <c:spPr>
            <a:ln w="15875"/>
          </c:spPr>
          <c:marker>
            <c:symbol val="none"/>
          </c:marker>
          <c:xVal>
            <c:numRef>
              <c:f>Method!$AP$9:$AP$24</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Method!$AQ$9:$AQ$24</c:f>
              <c:numCache>
                <c:formatCode>0.000</c:formatCode>
                <c:ptCount val="16"/>
                <c:pt idx="0">
                  <c:v>1.5659328836568415E-2</c:v>
                </c:pt>
                <c:pt idx="1">
                  <c:v>6.8274320714915258E-3</c:v>
                </c:pt>
                <c:pt idx="2">
                  <c:v>8.0796876444706248E-3</c:v>
                </c:pt>
                <c:pt idx="3">
                  <c:v>8.8837213245904871E-3</c:v>
                </c:pt>
                <c:pt idx="4">
                  <c:v>8.7799172536332237E-3</c:v>
                </c:pt>
                <c:pt idx="5">
                  <c:v>8.8495626275766816E-3</c:v>
                </c:pt>
                <c:pt idx="6">
                  <c:v>9.1662839738404604E-3</c:v>
                </c:pt>
                <c:pt idx="7">
                  <c:v>9.7831707277377163E-3</c:v>
                </c:pt>
                <c:pt idx="8">
                  <c:v>1.1072256214328162E-2</c:v>
                </c:pt>
                <c:pt idx="9">
                  <c:v>1.3812173766969435E-2</c:v>
                </c:pt>
                <c:pt idx="10">
                  <c:v>1.7249278190637575E-2</c:v>
                </c:pt>
                <c:pt idx="11">
                  <c:v>2.331974602170923E-2</c:v>
                </c:pt>
                <c:pt idx="12">
                  <c:v>3.1423231948738965E-2</c:v>
                </c:pt>
                <c:pt idx="13">
                  <c:v>4.4575369888019467E-2</c:v>
                </c:pt>
                <c:pt idx="14">
                  <c:v>6.4099879602102783E-2</c:v>
                </c:pt>
                <c:pt idx="15">
                  <c:v>9.429892068482866E-2</c:v>
                </c:pt>
              </c:numCache>
            </c:numRef>
          </c:yVal>
          <c:smooth val="0"/>
        </c:ser>
        <c:ser>
          <c:idx val="0"/>
          <c:order val="1"/>
          <c:tx>
            <c:v>Fitted rates</c:v>
          </c:tx>
          <c:spPr>
            <a:ln>
              <a:noFill/>
            </a:ln>
          </c:spPr>
          <c:marker>
            <c:symbol val="circle"/>
            <c:size val="3"/>
          </c:marker>
          <c:xVal>
            <c:numRef>
              <c:f>Method!$AP$9:$AP$24</c:f>
              <c:numCache>
                <c:formatCode>General</c:formatCode>
                <c:ptCount val="16"/>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numCache>
            </c:numRef>
          </c:xVal>
          <c:yVal>
            <c:numRef>
              <c:f>Method!$AD$9:$AD$24</c:f>
              <c:numCache>
                <c:formatCode>General</c:formatCode>
                <c:ptCount val="16"/>
                <c:pt idx="0">
                  <c:v>1.0815070688358641E-3</c:v>
                </c:pt>
                <c:pt idx="1">
                  <c:v>7.5968294757360294E-4</c:v>
                </c:pt>
                <c:pt idx="2">
                  <c:v>1.9600947915573872E-3</c:v>
                </c:pt>
                <c:pt idx="3">
                  <c:v>6.7744224619842412E-3</c:v>
                </c:pt>
                <c:pt idx="4">
                  <c:v>1.4057158525922771E-2</c:v>
                </c:pt>
                <c:pt idx="5">
                  <c:v>1.753012653247905E-2</c:v>
                </c:pt>
                <c:pt idx="6">
                  <c:v>1.5849264356513525E-2</c:v>
                </c:pt>
                <c:pt idx="7">
                  <c:v>1.4719665027109271E-2</c:v>
                </c:pt>
                <c:pt idx="8">
                  <c:v>1.4324108294330878E-2</c:v>
                </c:pt>
                <c:pt idx="9">
                  <c:v>1.5631958916671646E-2</c:v>
                </c:pt>
                <c:pt idx="10">
                  <c:v>1.788150830337544E-2</c:v>
                </c:pt>
                <c:pt idx="11">
                  <c:v>2.2975867462157174E-2</c:v>
                </c:pt>
                <c:pt idx="12">
                  <c:v>3.0750462704848162E-2</c:v>
                </c:pt>
                <c:pt idx="13">
                  <c:v>4.2442981296829281E-2</c:v>
                </c:pt>
                <c:pt idx="14">
                  <c:v>6.1421878419578579E-2</c:v>
                </c:pt>
                <c:pt idx="15">
                  <c:v>8.141642524124057E-2</c:v>
                </c:pt>
              </c:numCache>
            </c:numRef>
          </c:yVal>
          <c:smooth val="0"/>
        </c:ser>
        <c:dLbls>
          <c:showLegendKey val="0"/>
          <c:showVal val="0"/>
          <c:showCatName val="0"/>
          <c:showSerName val="0"/>
          <c:showPercent val="0"/>
          <c:showBubbleSize val="0"/>
        </c:dLbls>
        <c:axId val="60230464"/>
        <c:axId val="60231040"/>
      </c:scatterChart>
      <c:valAx>
        <c:axId val="60230464"/>
        <c:scaling>
          <c:orientation val="minMax"/>
          <c:max val="80"/>
        </c:scaling>
        <c:delete val="0"/>
        <c:axPos val="b"/>
        <c:numFmt formatCode="General" sourceLinked="1"/>
        <c:majorTickMark val="out"/>
        <c:minorTickMark val="none"/>
        <c:tickLblPos val="nextTo"/>
        <c:crossAx val="60231040"/>
        <c:crosses val="autoZero"/>
        <c:crossBetween val="midCat"/>
      </c:valAx>
      <c:valAx>
        <c:axId val="60231040"/>
        <c:scaling>
          <c:orientation val="minMax"/>
        </c:scaling>
        <c:delete val="0"/>
        <c:axPos val="l"/>
        <c:majorGridlines/>
        <c:title>
          <c:tx>
            <c:rich>
              <a:bodyPr rot="-5400000" vert="horz"/>
              <a:lstStyle/>
              <a:p>
                <a:pPr>
                  <a:defRPr/>
                </a:pPr>
                <a:r>
                  <a:rPr lang="en-US"/>
                  <a:t>5mx</a:t>
                </a:r>
              </a:p>
            </c:rich>
          </c:tx>
          <c:overlay val="0"/>
        </c:title>
        <c:numFmt formatCode="0.000" sourceLinked="1"/>
        <c:majorTickMark val="out"/>
        <c:minorTickMark val="none"/>
        <c:tickLblPos val="nextTo"/>
        <c:crossAx val="60230464"/>
        <c:crosses val="autoZero"/>
        <c:crossBetween val="midCat"/>
      </c:valAx>
    </c:plotArea>
    <c:legend>
      <c:legendPos val="r"/>
      <c:layout>
        <c:manualLayout>
          <c:xMode val="edge"/>
          <c:yMode val="edge"/>
          <c:x val="0.77007891790050165"/>
          <c:y val="0.42708502667005332"/>
          <c:w val="0.21637706404080981"/>
          <c:h val="0.23453962407924819"/>
        </c:manualLayout>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386"/>
          <c:y val="0.15722823340825581"/>
          <c:w val="0.75212009351544495"/>
          <c:h val="0.63414005192270861"/>
        </c:manualLayout>
      </c:layout>
      <c:scatterChart>
        <c:scatterStyle val="lineMarker"/>
        <c:varyColors val="0"/>
        <c:ser>
          <c:idx val="0"/>
          <c:order val="0"/>
          <c:tx>
            <c:v>Observations</c:v>
          </c:tx>
          <c:spPr>
            <a:ln>
              <a:noFill/>
            </a:ln>
          </c:spPr>
          <c:marker>
            <c:symbol val="square"/>
            <c:size val="5"/>
          </c:marker>
          <c:xVal>
            <c:numRef>
              <c:f>Method!$O$8:$O$24</c:f>
              <c:numCache>
                <c:formatCode>0.00000</c:formatCode>
                <c:ptCount val="17"/>
                <c:pt idx="0">
                  <c:v>0</c:v>
                </c:pt>
                <c:pt idx="1">
                  <c:v>1.1440842475661808E-2</c:v>
                </c:pt>
                <c:pt idx="2">
                  <c:v>1.2787215239525732E-2</c:v>
                </c:pt>
                <c:pt idx="3">
                  <c:v>1.4598779984960526E-2</c:v>
                </c:pt>
                <c:pt idx="4">
                  <c:v>1.6873855526218871E-2</c:v>
                </c:pt>
                <c:pt idx="5">
                  <c:v>1.89441864137481E-2</c:v>
                </c:pt>
                <c:pt idx="6">
                  <c:v>2.0223699086813773E-2</c:v>
                </c:pt>
                <c:pt idx="7">
                  <c:v>2.1194330996060325E-2</c:v>
                </c:pt>
                <c:pt idx="8">
                  <c:v>2.294590273695889E-2</c:v>
                </c:pt>
                <c:pt idx="9">
                  <c:v>2.5724197441756178E-2</c:v>
                </c:pt>
                <c:pt idx="10">
                  <c:v>2.9728604410774705E-2</c:v>
                </c:pt>
                <c:pt idx="11">
                  <c:v>3.497188604967371E-2</c:v>
                </c:pt>
                <c:pt idx="12">
                  <c:v>4.1575449865993749E-2</c:v>
                </c:pt>
                <c:pt idx="13">
                  <c:v>5.039858206908928E-2</c:v>
                </c:pt>
                <c:pt idx="14">
                  <c:v>6.2320874426798775E-2</c:v>
                </c:pt>
                <c:pt idx="15">
                  <c:v>7.9371826319088304E-2</c:v>
                </c:pt>
                <c:pt idx="16">
                  <c:v>0.10008096529640902</c:v>
                </c:pt>
              </c:numCache>
            </c:numRef>
          </c:xVal>
          <c:yVal>
            <c:numRef>
              <c:f>Method!$P$8:$P$24</c:f>
              <c:numCache>
                <c:formatCode>0.00000</c:formatCode>
                <c:ptCount val="17"/>
                <c:pt idx="1">
                  <c:v>9.8629908888223251E-3</c:v>
                </c:pt>
                <c:pt idx="2">
                  <c:v>1.3097861621893891E-2</c:v>
                </c:pt>
                <c:pt idx="3">
                  <c:v>1.5401713821539788E-2</c:v>
                </c:pt>
                <c:pt idx="4">
                  <c:v>1.7208722735028596E-2</c:v>
                </c:pt>
                <c:pt idx="5">
                  <c:v>1.8088300103211389E-2</c:v>
                </c:pt>
                <c:pt idx="6">
                  <c:v>1.9447266600518848E-2</c:v>
                </c:pt>
                <c:pt idx="7">
                  <c:v>2.0167609233445641E-2</c:v>
                </c:pt>
                <c:pt idx="8">
                  <c:v>2.2097782787135797E-2</c:v>
                </c:pt>
                <c:pt idx="9">
                  <c:v>2.3989880440957831E-2</c:v>
                </c:pt>
                <c:pt idx="10">
                  <c:v>2.7318720344600193E-2</c:v>
                </c:pt>
                <c:pt idx="11">
                  <c:v>3.3255100892340461E-2</c:v>
                </c:pt>
                <c:pt idx="12">
                  <c:v>4.2361480715747517E-2</c:v>
                </c:pt>
                <c:pt idx="13">
                  <c:v>5.4682933062554492E-2</c:v>
                </c:pt>
                <c:pt idx="14">
                  <c:v>6.8157961782722321E-2</c:v>
                </c:pt>
                <c:pt idx="15">
                  <c:v>8.6621622101277163E-2</c:v>
                </c:pt>
                <c:pt idx="16">
                  <c:v>0.10788645955153339</c:v>
                </c:pt>
              </c:numCache>
            </c:numRef>
          </c:yVal>
          <c:smooth val="0"/>
        </c:ser>
        <c:ser>
          <c:idx val="1"/>
          <c:order val="1"/>
          <c:tx>
            <c:v>Fit</c:v>
          </c:tx>
          <c:spPr>
            <a:ln>
              <a:solidFill>
                <a:srgbClr val="FF66FF"/>
              </a:solidFill>
              <a:prstDash val="solid"/>
            </a:ln>
          </c:spPr>
          <c:marker>
            <c:symbol val="none"/>
          </c:marker>
          <c:xVal>
            <c:numRef>
              <c:f>Method!$O$8:$O$24</c:f>
              <c:numCache>
                <c:formatCode>0.00000</c:formatCode>
                <c:ptCount val="17"/>
                <c:pt idx="0">
                  <c:v>0</c:v>
                </c:pt>
                <c:pt idx="1">
                  <c:v>1.1440842475661808E-2</c:v>
                </c:pt>
                <c:pt idx="2">
                  <c:v>1.2787215239525732E-2</c:v>
                </c:pt>
                <c:pt idx="3">
                  <c:v>1.4598779984960526E-2</c:v>
                </c:pt>
                <c:pt idx="4">
                  <c:v>1.6873855526218871E-2</c:v>
                </c:pt>
                <c:pt idx="5">
                  <c:v>1.89441864137481E-2</c:v>
                </c:pt>
                <c:pt idx="6">
                  <c:v>2.0223699086813773E-2</c:v>
                </c:pt>
                <c:pt idx="7">
                  <c:v>2.1194330996060325E-2</c:v>
                </c:pt>
                <c:pt idx="8">
                  <c:v>2.294590273695889E-2</c:v>
                </c:pt>
                <c:pt idx="9">
                  <c:v>2.5724197441756178E-2</c:v>
                </c:pt>
                <c:pt idx="10">
                  <c:v>2.9728604410774705E-2</c:v>
                </c:pt>
                <c:pt idx="11">
                  <c:v>3.497188604967371E-2</c:v>
                </c:pt>
                <c:pt idx="12">
                  <c:v>4.1575449865993749E-2</c:v>
                </c:pt>
                <c:pt idx="13">
                  <c:v>5.039858206908928E-2</c:v>
                </c:pt>
                <c:pt idx="14">
                  <c:v>6.2320874426798775E-2</c:v>
                </c:pt>
                <c:pt idx="15">
                  <c:v>7.9371826319088304E-2</c:v>
                </c:pt>
                <c:pt idx="16">
                  <c:v>0.10008096529640902</c:v>
                </c:pt>
              </c:numCache>
            </c:numRef>
          </c:xVal>
          <c:yVal>
            <c:numRef>
              <c:f>Method!$Q$8:$Q$24</c:f>
              <c:numCache>
                <c:formatCode>0.000</c:formatCode>
                <c:ptCount val="17"/>
                <c:pt idx="0">
                  <c:v>-3.0733096622935774E-3</c:v>
                </c:pt>
                <c:pt idx="1">
                  <c:v>9.7009506987808247E-3</c:v>
                </c:pt>
                <c:pt idx="2">
                  <c:v>1.1204241760190374E-2</c:v>
                </c:pt>
                <c:pt idx="3">
                  <c:v>1.3226942428288584E-2</c:v>
                </c:pt>
                <c:pt idx="4">
                  <c:v>1.5767175576937475E-2</c:v>
                </c:pt>
                <c:pt idx="5">
                  <c:v>1.8078801302676941E-2</c:v>
                </c:pt>
                <c:pt idx="6">
                  <c:v>1.9507439801616653E-2</c:v>
                </c:pt>
                <c:pt idx="7">
                  <c:v>2.0591197815928875E-2</c:v>
                </c:pt>
                <c:pt idx="8">
                  <c:v>2.254691335933726E-2</c:v>
                </c:pt>
                <c:pt idx="9">
                  <c:v>2.5649015323801365E-2</c:v>
                </c:pt>
                <c:pt idx="10">
                  <c:v>3.0120131618144405E-2</c:v>
                </c:pt>
                <c:pt idx="11">
                  <c:v>3.597451209267867E-2</c:v>
                </c:pt>
                <c:pt idx="12">
                  <c:v>4.33477141693695E-2</c:v>
                </c:pt>
                <c:pt idx="13">
                  <c:v>5.3199172941071758E-2</c:v>
                </c:pt>
                <c:pt idx="14">
                  <c:v>6.6510995650126123E-2</c:v>
                </c:pt>
                <c:pt idx="15">
                  <c:v>8.5549217646418499E-2</c:v>
                </c:pt>
                <c:pt idx="16">
                  <c:v>0.10867198449796245</c:v>
                </c:pt>
              </c:numCache>
            </c:numRef>
          </c:yVal>
          <c:smooth val="0"/>
        </c:ser>
        <c:dLbls>
          <c:showLegendKey val="0"/>
          <c:showVal val="0"/>
          <c:showCatName val="0"/>
          <c:showSerName val="0"/>
          <c:showPercent val="0"/>
          <c:showBubbleSize val="0"/>
        </c:dLbls>
        <c:axId val="60232768"/>
        <c:axId val="60233344"/>
      </c:scatterChart>
      <c:valAx>
        <c:axId val="60232768"/>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60233344"/>
        <c:crosses val="autoZero"/>
        <c:crossBetween val="midCat"/>
        <c:majorUnit val="2.0000000000000011E-2"/>
      </c:valAx>
      <c:valAx>
        <c:axId val="60233344"/>
        <c:scaling>
          <c:orientation val="minMax"/>
        </c:scaling>
        <c:delete val="0"/>
        <c:axPos val="l"/>
        <c:majorGridlines/>
        <c:title>
          <c:tx>
            <c:rich>
              <a:bodyPr rot="-5400000" vert="horz"/>
              <a:lstStyle/>
              <a:p>
                <a:pPr>
                  <a:defRPr/>
                </a:pPr>
                <a:r>
                  <a:rPr lang="en-US"/>
                  <a:t>b(x+)-r(x+)+i(x+)</a:t>
                </a:r>
              </a:p>
            </c:rich>
          </c:tx>
          <c:overlay val="0"/>
        </c:title>
        <c:numFmt formatCode="0.000" sourceLinked="0"/>
        <c:majorTickMark val="out"/>
        <c:minorTickMark val="none"/>
        <c:tickLblPos val="nextTo"/>
        <c:crossAx val="6023276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942229605020394"/>
          <c:y val="0.15722823340825587"/>
          <c:w val="0.75212009351544529"/>
          <c:h val="0.63414005192270861"/>
        </c:manualLayout>
      </c:layout>
      <c:scatterChart>
        <c:scatterStyle val="lineMarker"/>
        <c:varyColors val="0"/>
        <c:ser>
          <c:idx val="0"/>
          <c:order val="0"/>
          <c:tx>
            <c:v>Residuals</c:v>
          </c:tx>
          <c:spPr>
            <a:ln>
              <a:solidFill>
                <a:srgbClr val="0070C0"/>
              </a:solidFill>
            </a:ln>
          </c:spPr>
          <c:marker>
            <c:symbol val="square"/>
            <c:size val="5"/>
          </c:marker>
          <c:xVal>
            <c:numRef>
              <c:f>Method!$O$9:$O$24</c:f>
              <c:numCache>
                <c:formatCode>0.00000</c:formatCode>
                <c:ptCount val="16"/>
                <c:pt idx="0">
                  <c:v>1.1440842475661808E-2</c:v>
                </c:pt>
                <c:pt idx="1">
                  <c:v>1.2787215239525732E-2</c:v>
                </c:pt>
                <c:pt idx="2">
                  <c:v>1.4598779984960526E-2</c:v>
                </c:pt>
                <c:pt idx="3">
                  <c:v>1.6873855526218871E-2</c:v>
                </c:pt>
                <c:pt idx="4">
                  <c:v>1.89441864137481E-2</c:v>
                </c:pt>
                <c:pt idx="5">
                  <c:v>2.0223699086813773E-2</c:v>
                </c:pt>
                <c:pt idx="6">
                  <c:v>2.1194330996060325E-2</c:v>
                </c:pt>
                <c:pt idx="7">
                  <c:v>2.294590273695889E-2</c:v>
                </c:pt>
                <c:pt idx="8">
                  <c:v>2.5724197441756178E-2</c:v>
                </c:pt>
                <c:pt idx="9">
                  <c:v>2.9728604410774705E-2</c:v>
                </c:pt>
                <c:pt idx="10">
                  <c:v>3.497188604967371E-2</c:v>
                </c:pt>
                <c:pt idx="11">
                  <c:v>4.1575449865993749E-2</c:v>
                </c:pt>
                <c:pt idx="12">
                  <c:v>5.039858206908928E-2</c:v>
                </c:pt>
                <c:pt idx="13">
                  <c:v>6.2320874426798775E-2</c:v>
                </c:pt>
                <c:pt idx="14">
                  <c:v>7.9371826319088304E-2</c:v>
                </c:pt>
                <c:pt idx="15">
                  <c:v>0.10008096529640902</c:v>
                </c:pt>
              </c:numCache>
            </c:numRef>
          </c:xVal>
          <c:yVal>
            <c:numRef>
              <c:f>Method!$R$9:$R$24</c:f>
              <c:numCache>
                <c:formatCode>0.000</c:formatCode>
                <c:ptCount val="16"/>
                <c:pt idx="0">
                  <c:v>1.6204019004150035E-4</c:v>
                </c:pt>
                <c:pt idx="1">
                  <c:v>1.8936198617035167E-3</c:v>
                </c:pt>
                <c:pt idx="2">
                  <c:v>2.1747713932512049E-3</c:v>
                </c:pt>
                <c:pt idx="3">
                  <c:v>1.4415471580911214E-3</c:v>
                </c:pt>
                <c:pt idx="4">
                  <c:v>9.4988005344479043E-6</c:v>
                </c:pt>
                <c:pt idx="5">
                  <c:v>-6.0173201097805246E-5</c:v>
                </c:pt>
                <c:pt idx="6">
                  <c:v>-4.235885824832343E-4</c:v>
                </c:pt>
                <c:pt idx="7">
                  <c:v>-4.4913057220146227E-4</c:v>
                </c:pt>
                <c:pt idx="8">
                  <c:v>-1.659134882843534E-3</c:v>
                </c:pt>
                <c:pt idx="9">
                  <c:v>-2.8014112735442118E-3</c:v>
                </c:pt>
                <c:pt idx="10">
                  <c:v>-2.7194112003382093E-3</c:v>
                </c:pt>
                <c:pt idx="11">
                  <c:v>-9.8623345362198328E-4</c:v>
                </c:pt>
                <c:pt idx="12">
                  <c:v>1.4837601214827342E-3</c:v>
                </c:pt>
                <c:pt idx="13">
                  <c:v>1.6469661325961976E-3</c:v>
                </c:pt>
                <c:pt idx="14">
                  <c:v>1.0724044548586636E-3</c:v>
                </c:pt>
                <c:pt idx="15">
                  <c:v>-7.855249464290559E-4</c:v>
                </c:pt>
              </c:numCache>
            </c:numRef>
          </c:yVal>
          <c:smooth val="0"/>
        </c:ser>
        <c:dLbls>
          <c:showLegendKey val="0"/>
          <c:showVal val="0"/>
          <c:showCatName val="0"/>
          <c:showSerName val="0"/>
          <c:showPercent val="0"/>
          <c:showBubbleSize val="0"/>
        </c:dLbls>
        <c:axId val="60235072"/>
        <c:axId val="78522048"/>
      </c:scatterChart>
      <c:valAx>
        <c:axId val="6023507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78522048"/>
        <c:crosses val="autoZero"/>
        <c:crossBetween val="midCat"/>
        <c:majorUnit val="2.0000000000000011E-2"/>
      </c:valAx>
      <c:valAx>
        <c:axId val="78522048"/>
        <c:scaling>
          <c:orientation val="minMax"/>
        </c:scaling>
        <c:delete val="0"/>
        <c:axPos val="l"/>
        <c:majorGridlines/>
        <c:numFmt formatCode="0.000" sourceLinked="0"/>
        <c:majorTickMark val="out"/>
        <c:minorTickMark val="none"/>
        <c:tickLblPos val="nextTo"/>
        <c:crossAx val="60235072"/>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63500</xdr:colOff>
      <xdr:row>0</xdr:row>
      <xdr:rowOff>0</xdr:rowOff>
    </xdr:from>
    <xdr:to>
      <xdr:col>52</xdr:col>
      <xdr:colOff>139700</xdr:colOff>
      <xdr:row>17</xdr:row>
      <xdr:rowOff>165100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43</xdr:col>
      <xdr:colOff>38100</xdr:colOff>
      <xdr:row>18</xdr:row>
      <xdr:rowOff>0</xdr:rowOff>
    </xdr:from>
    <xdr:to>
      <xdr:col>52</xdr:col>
      <xdr:colOff>177800</xdr:colOff>
      <xdr:row>33</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798679" cy="5902586"/>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rlher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election activeCell="D1" sqref="D1:D3"/>
    </sheetView>
  </sheetViews>
  <sheetFormatPr defaultRowHeight="18.75" customHeight="1" x14ac:dyDescent="0.25"/>
  <cols>
    <col min="1" max="1" width="7.7109375" style="48" customWidth="1"/>
    <col min="2" max="2" width="97.7109375" style="48" customWidth="1"/>
    <col min="3" max="16384" width="9.140625" style="48"/>
  </cols>
  <sheetData>
    <row r="1" spans="1:4" ht="18.75" customHeight="1" x14ac:dyDescent="0.25">
      <c r="A1" s="64" t="s">
        <v>77</v>
      </c>
      <c r="B1" s="65"/>
      <c r="D1" s="48" t="s">
        <v>86</v>
      </c>
    </row>
    <row r="2" spans="1:4" ht="18.75" customHeight="1" x14ac:dyDescent="0.25">
      <c r="A2" s="50"/>
      <c r="B2" s="51"/>
      <c r="D2" s="48" t="s">
        <v>84</v>
      </c>
    </row>
    <row r="3" spans="1:4" ht="18.75" customHeight="1" x14ac:dyDescent="0.25">
      <c r="A3" s="66" t="s">
        <v>72</v>
      </c>
      <c r="B3" s="66"/>
      <c r="D3" s="59" t="s">
        <v>85</v>
      </c>
    </row>
    <row r="4" spans="1:4" ht="18.75" customHeight="1" x14ac:dyDescent="0.25">
      <c r="A4" s="67" t="s">
        <v>73</v>
      </c>
      <c r="B4" s="68"/>
    </row>
    <row r="6" spans="1:4" ht="81" customHeight="1" x14ac:dyDescent="0.25">
      <c r="A6" s="69" t="s">
        <v>74</v>
      </c>
      <c r="B6" s="69"/>
    </row>
    <row r="8" spans="1:4" ht="18.75" customHeight="1" x14ac:dyDescent="0.25">
      <c r="A8" s="52" t="s">
        <v>75</v>
      </c>
    </row>
    <row r="10" spans="1:4" ht="66.75" customHeight="1" x14ac:dyDescent="0.25">
      <c r="A10" s="53">
        <v>1</v>
      </c>
      <c r="B10" s="54" t="s">
        <v>81</v>
      </c>
    </row>
    <row r="11" spans="1:4" ht="18.75" customHeight="1" x14ac:dyDescent="0.25">
      <c r="A11" s="53"/>
      <c r="B11" s="53"/>
    </row>
    <row r="12" spans="1:4" ht="18.75" customHeight="1" x14ac:dyDescent="0.25">
      <c r="A12" s="55">
        <v>2</v>
      </c>
      <c r="B12" s="55" t="s">
        <v>76</v>
      </c>
    </row>
    <row r="13" spans="1:4" ht="18.75" customHeight="1" x14ac:dyDescent="0.25">
      <c r="A13" s="55"/>
      <c r="B13" s="55"/>
    </row>
    <row r="14" spans="1:4" ht="65.25" customHeight="1" x14ac:dyDescent="0.25">
      <c r="A14" s="55">
        <v>3</v>
      </c>
      <c r="B14" s="56" t="s">
        <v>83</v>
      </c>
    </row>
    <row r="15" spans="1:4" ht="18.75" customHeight="1" x14ac:dyDescent="0.25">
      <c r="A15" s="55"/>
      <c r="B15" s="56"/>
    </row>
    <row r="16" spans="1:4" ht="21.75" customHeight="1" x14ac:dyDescent="0.25">
      <c r="A16" s="55">
        <v>4</v>
      </c>
      <c r="B16" s="56" t="s">
        <v>82</v>
      </c>
    </row>
    <row r="17" spans="1:2" ht="18.75" customHeight="1" x14ac:dyDescent="0.25">
      <c r="A17" s="55"/>
      <c r="B17" s="55"/>
    </row>
    <row r="18" spans="1:2" ht="36" customHeight="1" x14ac:dyDescent="0.25">
      <c r="A18" s="55">
        <v>5</v>
      </c>
      <c r="B18" s="56" t="s">
        <v>78</v>
      </c>
    </row>
    <row r="19" spans="1:2" ht="18.75" customHeight="1" x14ac:dyDescent="0.25">
      <c r="A19" s="55"/>
      <c r="B19" s="56"/>
    </row>
    <row r="20" spans="1:2" ht="18.75" customHeight="1" x14ac:dyDescent="0.25">
      <c r="A20" s="55">
        <v>6</v>
      </c>
      <c r="B20" s="56" t="s">
        <v>79</v>
      </c>
    </row>
    <row r="21" spans="1:2" ht="18.75" customHeight="1" x14ac:dyDescent="0.25">
      <c r="A21" s="55"/>
      <c r="B21" s="56"/>
    </row>
    <row r="22" spans="1:2" ht="18.75" customHeight="1" x14ac:dyDescent="0.25">
      <c r="A22" s="55"/>
      <c r="B22" s="56"/>
    </row>
    <row r="23" spans="1:2" ht="18.75" customHeight="1" x14ac:dyDescent="0.25">
      <c r="A23" s="55"/>
      <c r="B23" s="56"/>
    </row>
    <row r="24" spans="1:2" ht="18.75" customHeight="1" x14ac:dyDescent="0.25">
      <c r="A24" s="55"/>
      <c r="B24" s="56"/>
    </row>
    <row r="25" spans="1:2" ht="18.75" customHeight="1" x14ac:dyDescent="0.25">
      <c r="A25" s="55"/>
      <c r="B25" s="56"/>
    </row>
    <row r="26" spans="1:2" ht="18.75" customHeight="1" x14ac:dyDescent="0.25">
      <c r="A26" s="55"/>
      <c r="B26" s="56"/>
    </row>
    <row r="27" spans="1:2" ht="18.75" customHeight="1" x14ac:dyDescent="0.25">
      <c r="A27" s="55"/>
      <c r="B27" s="56"/>
    </row>
    <row r="28" spans="1:2" ht="18.75" customHeight="1" x14ac:dyDescent="0.25">
      <c r="A28" s="55"/>
      <c r="B28" s="56"/>
    </row>
    <row r="29" spans="1:2" ht="18.75" customHeight="1" x14ac:dyDescent="0.25">
      <c r="A29" s="57"/>
      <c r="B29" s="58"/>
    </row>
    <row r="30" spans="1:2" ht="18.75" customHeight="1" x14ac:dyDescent="0.25">
      <c r="A30" s="57"/>
      <c r="B30" s="58"/>
    </row>
    <row r="31" spans="1:2" ht="18.75" customHeight="1" x14ac:dyDescent="0.25">
      <c r="A31" s="57"/>
      <c r="B31" s="58"/>
    </row>
    <row r="32" spans="1:2" ht="18.75" customHeight="1" x14ac:dyDescent="0.25">
      <c r="A32" s="57"/>
      <c r="B32" s="58"/>
    </row>
    <row r="33" spans="1:2" ht="18.75" customHeight="1" x14ac:dyDescent="0.25">
      <c r="A33" s="57"/>
      <c r="B33" s="58"/>
    </row>
    <row r="34" spans="1:2" ht="18.75" customHeight="1" x14ac:dyDescent="0.25">
      <c r="A34" s="57"/>
      <c r="B34" s="58"/>
    </row>
    <row r="35" spans="1:2" ht="18.75" customHeight="1" x14ac:dyDescent="0.25">
      <c r="A35" s="57"/>
      <c r="B35" s="57"/>
    </row>
    <row r="36" spans="1:2" ht="18.75" customHeight="1" x14ac:dyDescent="0.25">
      <c r="A36" s="57"/>
      <c r="B36" s="57"/>
    </row>
    <row r="37" spans="1:2" ht="18.75" customHeight="1" x14ac:dyDescent="0.25">
      <c r="A37" s="57"/>
      <c r="B37" s="57"/>
    </row>
    <row r="38" spans="1:2" ht="18.75" customHeight="1" x14ac:dyDescent="0.25">
      <c r="A38" s="57"/>
      <c r="B38" s="57"/>
    </row>
    <row r="39" spans="1:2" ht="18.75" customHeight="1" x14ac:dyDescent="0.25">
      <c r="A39" s="57"/>
      <c r="B39" s="57"/>
    </row>
    <row r="40" spans="1:2" ht="18.75" customHeight="1" x14ac:dyDescent="0.25">
      <c r="A40" s="57"/>
      <c r="B40" s="57"/>
    </row>
    <row r="41" spans="1:2" ht="18.75" customHeight="1" x14ac:dyDescent="0.25">
      <c r="A41" s="57"/>
      <c r="B41" s="57"/>
    </row>
    <row r="42" spans="1:2" ht="18.75" customHeight="1" x14ac:dyDescent="0.25">
      <c r="A42" s="57"/>
      <c r="B42" s="57"/>
    </row>
    <row r="43" spans="1:2" ht="18.75" customHeight="1" x14ac:dyDescent="0.25">
      <c r="A43" s="57"/>
      <c r="B43" s="57"/>
    </row>
    <row r="44" spans="1:2" ht="18.75" customHeight="1" x14ac:dyDescent="0.25">
      <c r="A44" s="57"/>
      <c r="B44" s="57"/>
    </row>
    <row r="45" spans="1:2" ht="18.75" customHeight="1" x14ac:dyDescent="0.25">
      <c r="A45" s="57"/>
      <c r="B45" s="57"/>
    </row>
    <row r="46" spans="1:2" ht="18.75" customHeight="1" x14ac:dyDescent="0.25">
      <c r="A46" s="57"/>
      <c r="B46" s="57"/>
    </row>
    <row r="47" spans="1:2" ht="18.75" customHeight="1" x14ac:dyDescent="0.25">
      <c r="A47" s="57"/>
      <c r="B47" s="57"/>
    </row>
    <row r="48" spans="1:2" ht="18.75" customHeight="1" x14ac:dyDescent="0.25">
      <c r="A48" s="57"/>
      <c r="B48" s="57"/>
    </row>
    <row r="49" spans="1:2" ht="18.75" customHeight="1" x14ac:dyDescent="0.25">
      <c r="A49" s="57"/>
      <c r="B49" s="57"/>
    </row>
    <row r="50" spans="1:2" ht="18.75" customHeight="1" x14ac:dyDescent="0.25">
      <c r="A50" s="57"/>
      <c r="B50" s="57"/>
    </row>
    <row r="51" spans="1:2" ht="18.75" customHeight="1" x14ac:dyDescent="0.25">
      <c r="A51" s="57"/>
      <c r="B51" s="57"/>
    </row>
    <row r="52" spans="1:2" ht="18.75" customHeight="1" x14ac:dyDescent="0.25">
      <c r="A52" s="57"/>
      <c r="B52" s="57"/>
    </row>
    <row r="53" spans="1:2" ht="18.75" customHeight="1" x14ac:dyDescent="0.25">
      <c r="A53" s="57"/>
      <c r="B53" s="57"/>
    </row>
    <row r="54" spans="1:2" ht="18.75" customHeight="1" x14ac:dyDescent="0.25">
      <c r="A54" s="57"/>
      <c r="B54" s="57"/>
    </row>
    <row r="55" spans="1:2" ht="18.75" customHeight="1" x14ac:dyDescent="0.25">
      <c r="A55" s="57"/>
      <c r="B55" s="57"/>
    </row>
    <row r="56" spans="1:2" ht="18.75" customHeight="1" x14ac:dyDescent="0.25">
      <c r="A56" s="57"/>
      <c r="B56" s="57"/>
    </row>
    <row r="57" spans="1:2" ht="18.75" customHeight="1" x14ac:dyDescent="0.25">
      <c r="A57" s="57"/>
      <c r="B57" s="57"/>
    </row>
    <row r="58" spans="1:2" ht="18.75" customHeight="1" x14ac:dyDescent="0.25">
      <c r="A58" s="57"/>
      <c r="B58" s="57"/>
    </row>
    <row r="59" spans="1:2" ht="18.75" customHeight="1" x14ac:dyDescent="0.25">
      <c r="A59" s="57"/>
      <c r="B59" s="57"/>
    </row>
  </sheetData>
  <mergeCells count="4">
    <mergeCell ref="A1:B1"/>
    <mergeCell ref="A3:B3"/>
    <mergeCell ref="A4:B4"/>
    <mergeCell ref="A6:B6"/>
  </mergeCell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8"/>
  <sheetViews>
    <sheetView tabSelected="1" zoomScale="90" zoomScaleNormal="90" workbookViewId="0"/>
  </sheetViews>
  <sheetFormatPr defaultRowHeight="12.75" x14ac:dyDescent="0.2"/>
  <cols>
    <col min="2" max="2" width="10.28515625" customWidth="1"/>
    <col min="3" max="3" width="11.140625" customWidth="1"/>
    <col min="4" max="4" width="11" customWidth="1"/>
    <col min="5" max="5" width="11.5703125" customWidth="1"/>
    <col min="6" max="6" width="9.28515625" bestFit="1" customWidth="1"/>
    <col min="7" max="7" width="10.28515625" bestFit="1" customWidth="1"/>
    <col min="11" max="11" width="10.28515625" customWidth="1"/>
    <col min="19" max="19" width="11.28515625" customWidth="1"/>
    <col min="20" max="20" width="11" customWidth="1"/>
    <col min="21" max="21" width="11.5703125" customWidth="1"/>
    <col min="22" max="22" width="11" customWidth="1"/>
    <col min="26" max="26" width="11.85546875" customWidth="1"/>
    <col min="27" max="27" width="11.140625" customWidth="1"/>
    <col min="28" max="28" width="10.28515625" customWidth="1"/>
    <col min="29" max="29" width="11.42578125" customWidth="1"/>
    <col min="38" max="38" width="9.140625" customWidth="1"/>
    <col min="40" max="40" width="10.140625" customWidth="1"/>
  </cols>
  <sheetData>
    <row r="1" spans="1:56" ht="15.75" x14ac:dyDescent="0.25">
      <c r="A1" s="9" t="s">
        <v>45</v>
      </c>
      <c r="B1" s="9"/>
      <c r="C1" s="7" t="s">
        <v>46</v>
      </c>
      <c r="D1" s="9"/>
      <c r="E1" s="9"/>
      <c r="F1" s="9"/>
      <c r="G1" s="9"/>
      <c r="H1" s="9"/>
      <c r="I1" s="9" t="s">
        <v>50</v>
      </c>
      <c r="J1" s="9"/>
      <c r="K1" s="9"/>
      <c r="L1" s="9"/>
      <c r="M1" s="10"/>
      <c r="N1" s="10"/>
      <c r="O1" s="9"/>
      <c r="P1" s="9"/>
      <c r="Q1" s="9"/>
      <c r="R1" s="9"/>
      <c r="S1" s="9"/>
      <c r="T1" s="9"/>
      <c r="U1" s="9"/>
      <c r="V1" s="9"/>
      <c r="W1" s="9"/>
      <c r="AE1" s="9"/>
      <c r="AF1" s="9"/>
      <c r="AG1" s="9"/>
      <c r="AH1" s="28"/>
      <c r="AI1" s="28"/>
      <c r="AJ1" s="9"/>
      <c r="AK1" s="9" t="s">
        <v>1</v>
      </c>
      <c r="AL1" s="29">
        <v>45</v>
      </c>
      <c r="AM1" s="9"/>
      <c r="AN1" s="9"/>
      <c r="AO1" s="9"/>
      <c r="AP1" s="9"/>
    </row>
    <row r="2" spans="1:56" ht="15.75" x14ac:dyDescent="0.25">
      <c r="A2" s="9" t="s">
        <v>48</v>
      </c>
      <c r="B2" s="7"/>
      <c r="C2" s="49">
        <f>1900+AVERAGE(C5:D5)/365.25</f>
        <v>2004.4529746717114</v>
      </c>
      <c r="D2" s="9"/>
      <c r="E2" s="9" t="s">
        <v>47</v>
      </c>
      <c r="F2" s="7"/>
      <c r="G2" s="43">
        <f>(C5+D5)/2</f>
        <v>38151.448998842592</v>
      </c>
      <c r="H2" s="9"/>
      <c r="I2" s="9" t="s">
        <v>0</v>
      </c>
      <c r="J2" s="9"/>
      <c r="K2" s="9"/>
      <c r="L2" s="12">
        <v>5</v>
      </c>
      <c r="M2" s="10"/>
      <c r="N2" s="10"/>
      <c r="O2" s="9"/>
      <c r="P2" s="9"/>
      <c r="Q2" s="9"/>
      <c r="R2" s="9"/>
      <c r="S2" s="9"/>
      <c r="T2" s="9"/>
      <c r="U2" s="9"/>
      <c r="V2" s="9"/>
      <c r="W2" s="9"/>
      <c r="AE2" s="9"/>
      <c r="AF2" s="9"/>
      <c r="AG2" s="9"/>
      <c r="AH2" s="28"/>
      <c r="AI2" s="28"/>
      <c r="AJ2" s="9"/>
      <c r="AK2" s="9" t="s">
        <v>5</v>
      </c>
      <c r="AL2" s="29">
        <v>80</v>
      </c>
      <c r="AM2" s="9"/>
      <c r="AN2" s="47" t="s">
        <v>68</v>
      </c>
      <c r="AO2" s="45"/>
      <c r="AP2" s="9"/>
    </row>
    <row r="3" spans="1:56" ht="15.75" x14ac:dyDescent="0.25">
      <c r="A3" s="9" t="s">
        <v>66</v>
      </c>
      <c r="B3" s="9"/>
      <c r="C3" s="60" t="s">
        <v>65</v>
      </c>
      <c r="D3" s="9"/>
      <c r="E3" s="9" t="s">
        <v>2</v>
      </c>
      <c r="F3" s="9"/>
      <c r="G3" s="9">
        <f>IF(C5=D5,1,(D5-C5)/365.25)</f>
        <v>5.3479863170836843</v>
      </c>
      <c r="H3" s="9"/>
      <c r="I3" s="9" t="s">
        <v>3</v>
      </c>
      <c r="J3" s="9"/>
      <c r="K3" s="9"/>
      <c r="L3" s="44">
        <v>84</v>
      </c>
      <c r="M3" s="10" t="s">
        <v>80</v>
      </c>
      <c r="N3" s="10"/>
      <c r="O3" s="9">
        <f>MAX(B21:B24)+5</f>
        <v>85</v>
      </c>
      <c r="P3" s="9"/>
      <c r="Q3" s="9"/>
      <c r="R3" s="9"/>
      <c r="S3" s="9"/>
      <c r="T3" s="9"/>
      <c r="U3" s="9"/>
      <c r="V3" s="9"/>
      <c r="W3" s="9"/>
      <c r="AE3" s="9"/>
      <c r="AF3" s="9"/>
      <c r="AG3" s="9"/>
      <c r="AH3" s="28"/>
      <c r="AI3" s="28"/>
      <c r="AJ3" s="9"/>
      <c r="AK3" s="30" t="s">
        <v>10</v>
      </c>
      <c r="AL3" s="31">
        <f ca="1">INTERCEPT(INDIRECT(ADDRESS(ROW(AH8)+AL1/5,AH7)):INDIRECT(ADDRESS(ROW(AH8)+AL2/5,AH7)),INDIRECT(ADDRESS(ROW(AK8)+AL1/5,AK7)):INDIRECT(ADDRESS(ROW(AK8)+AL2/5,AK7)))</f>
        <v>0.21524474280919142</v>
      </c>
      <c r="AM3" s="9"/>
      <c r="AN3" s="45" t="s">
        <v>11</v>
      </c>
      <c r="AO3" s="46">
        <f ca="1">1-AM20/AM11</f>
        <v>0.38030028612526345</v>
      </c>
      <c r="AP3" s="9"/>
    </row>
    <row r="4" spans="1:56" ht="15.75" x14ac:dyDescent="0.25">
      <c r="A4" s="9"/>
      <c r="B4" s="9"/>
      <c r="C4" s="9"/>
      <c r="D4" s="9"/>
      <c r="E4" s="9"/>
      <c r="F4" s="9"/>
      <c r="G4" s="9"/>
      <c r="H4" s="9"/>
      <c r="I4" s="9"/>
      <c r="J4" s="9"/>
      <c r="K4" s="9"/>
      <c r="L4" s="9"/>
      <c r="M4" s="10"/>
      <c r="N4" s="10"/>
      <c r="O4" s="9"/>
      <c r="P4" s="9"/>
      <c r="Q4" s="9"/>
      <c r="R4" s="9"/>
      <c r="Z4" s="9" t="s">
        <v>4</v>
      </c>
      <c r="AA4" s="9"/>
      <c r="AB4" s="9" t="s">
        <v>4</v>
      </c>
      <c r="AC4" s="9" t="s">
        <v>4</v>
      </c>
      <c r="AD4" s="9"/>
      <c r="AE4" s="9"/>
      <c r="AF4" s="9"/>
      <c r="AG4" s="9"/>
      <c r="AH4" s="28"/>
      <c r="AI4" s="28"/>
      <c r="AJ4" s="9"/>
      <c r="AK4" s="30" t="s">
        <v>22</v>
      </c>
      <c r="AL4" s="31">
        <f ca="1">SLOPE(INDIRECT(ADDRESS(ROW(AH8)+AL1/5,AH7)):INDIRECT(ADDRESS(ROW(AH8)+AL2/5,AH7)),INDIRECT(ADDRESS(ROW(AK8)+AL1/5,AK7)):INDIRECT(ADDRESS(ROW(AK8)+AL2/5,AK7)))</f>
        <v>0.65394946909614915</v>
      </c>
      <c r="AM4" s="9"/>
      <c r="AN4" s="45" t="s">
        <v>23</v>
      </c>
      <c r="AO4" s="46">
        <f ca="1">1-AM18/AM11</f>
        <v>0.27612170513733181</v>
      </c>
      <c r="AP4" s="9"/>
    </row>
    <row r="5" spans="1:56" ht="15.75" x14ac:dyDescent="0.25">
      <c r="A5" s="9" t="s">
        <v>49</v>
      </c>
      <c r="B5" s="9"/>
      <c r="C5" s="62">
        <v>37174.772997685184</v>
      </c>
      <c r="D5" s="62">
        <v>39128.125</v>
      </c>
      <c r="E5" s="9"/>
      <c r="F5" s="13"/>
      <c r="G5" s="9"/>
      <c r="H5" s="9"/>
      <c r="I5" s="9"/>
      <c r="J5" s="9"/>
      <c r="K5" s="9"/>
      <c r="L5" s="9"/>
      <c r="M5" s="9"/>
      <c r="N5" s="9"/>
      <c r="O5" s="9" t="s">
        <v>6</v>
      </c>
      <c r="P5" s="9" t="s">
        <v>7</v>
      </c>
      <c r="Q5" s="9"/>
      <c r="R5" s="9" t="s">
        <v>8</v>
      </c>
      <c r="Z5" s="9">
        <f>C5</f>
        <v>37174.772997685184</v>
      </c>
      <c r="AA5" s="9">
        <f>D5</f>
        <v>39128.125</v>
      </c>
      <c r="AB5" s="9">
        <f>E5</f>
        <v>0</v>
      </c>
      <c r="AC5" s="9"/>
      <c r="AD5" s="9" t="s">
        <v>4</v>
      </c>
      <c r="AE5" s="9"/>
      <c r="AF5" s="9"/>
      <c r="AG5" s="9"/>
      <c r="AH5" s="32"/>
      <c r="AI5" s="32"/>
      <c r="AJ5" s="32"/>
      <c r="AK5" s="32"/>
      <c r="AL5" s="32"/>
      <c r="AM5" s="32"/>
      <c r="AN5" s="32"/>
      <c r="AO5" s="32"/>
      <c r="AP5" s="32"/>
    </row>
    <row r="6" spans="1:56" ht="18.75" x14ac:dyDescent="0.35">
      <c r="A6" s="24" t="s">
        <v>9</v>
      </c>
      <c r="B6" s="24" t="s">
        <v>6</v>
      </c>
      <c r="C6" s="25" t="s">
        <v>51</v>
      </c>
      <c r="D6" s="25" t="s">
        <v>52</v>
      </c>
      <c r="E6" s="25" t="s">
        <v>53</v>
      </c>
      <c r="F6" s="25" t="s">
        <v>54</v>
      </c>
      <c r="G6" s="14" t="s">
        <v>12</v>
      </c>
      <c r="H6" s="14" t="s">
        <v>13</v>
      </c>
      <c r="I6" s="14" t="s">
        <v>14</v>
      </c>
      <c r="J6" s="14" t="s">
        <v>69</v>
      </c>
      <c r="K6" s="14" t="s">
        <v>15</v>
      </c>
      <c r="L6" s="14" t="s">
        <v>16</v>
      </c>
      <c r="M6" s="14" t="s">
        <v>17</v>
      </c>
      <c r="N6" s="14" t="s">
        <v>70</v>
      </c>
      <c r="O6" s="14" t="s">
        <v>18</v>
      </c>
      <c r="P6" s="15" t="s">
        <v>71</v>
      </c>
      <c r="Q6" s="14" t="s">
        <v>19</v>
      </c>
      <c r="R6" s="14" t="s">
        <v>20</v>
      </c>
      <c r="Z6" s="25" t="s">
        <v>51</v>
      </c>
      <c r="AA6" s="25" t="s">
        <v>52</v>
      </c>
      <c r="AB6" s="25" t="s">
        <v>53</v>
      </c>
      <c r="AC6" s="27" t="s">
        <v>21</v>
      </c>
      <c r="AD6" s="27" t="s">
        <v>55</v>
      </c>
      <c r="AE6" s="36" t="s">
        <v>6</v>
      </c>
      <c r="AF6" s="27" t="s">
        <v>56</v>
      </c>
      <c r="AG6" s="27" t="s">
        <v>57</v>
      </c>
      <c r="AH6" s="37" t="s">
        <v>58</v>
      </c>
      <c r="AI6" s="38" t="s">
        <v>67</v>
      </c>
      <c r="AJ6" s="39"/>
      <c r="AK6" s="37" t="s">
        <v>59</v>
      </c>
      <c r="AL6" s="37" t="s">
        <v>60</v>
      </c>
      <c r="AM6" s="40" t="s">
        <v>61</v>
      </c>
      <c r="AN6" s="41" t="s">
        <v>62</v>
      </c>
      <c r="AO6" s="42" t="s">
        <v>63</v>
      </c>
      <c r="AP6" s="39" t="s">
        <v>9</v>
      </c>
    </row>
    <row r="7" spans="1:56" ht="15.75" x14ac:dyDescent="0.25">
      <c r="A7" s="16">
        <f>COLUMN()</f>
        <v>1</v>
      </c>
      <c r="B7" s="16">
        <f>COLUMN()</f>
        <v>2</v>
      </c>
      <c r="C7" s="16">
        <f>COLUMN()</f>
        <v>3</v>
      </c>
      <c r="D7" s="16">
        <f>COLUMN()</f>
        <v>4</v>
      </c>
      <c r="E7" s="16">
        <f>COLUMN()</f>
        <v>5</v>
      </c>
      <c r="F7" s="16">
        <f>COLUMN()</f>
        <v>6</v>
      </c>
      <c r="G7" s="16">
        <f>COLUMN()</f>
        <v>7</v>
      </c>
      <c r="H7" s="16">
        <f>COLUMN()</f>
        <v>8</v>
      </c>
      <c r="I7" s="16">
        <f>COLUMN()</f>
        <v>9</v>
      </c>
      <c r="J7" s="16">
        <f>COLUMN()</f>
        <v>10</v>
      </c>
      <c r="K7" s="16">
        <f>COLUMN()</f>
        <v>11</v>
      </c>
      <c r="L7" s="16">
        <f>COLUMN()</f>
        <v>12</v>
      </c>
      <c r="M7" s="16">
        <f>COLUMN()</f>
        <v>13</v>
      </c>
      <c r="N7" s="16">
        <f>COLUMN()</f>
        <v>14</v>
      </c>
      <c r="O7" s="16">
        <f>COLUMN()</f>
        <v>15</v>
      </c>
      <c r="P7" s="16">
        <f>COLUMN()</f>
        <v>16</v>
      </c>
      <c r="Q7" s="16">
        <f>COLUMN()</f>
        <v>17</v>
      </c>
      <c r="R7" s="16">
        <f>COLUMN()</f>
        <v>18</v>
      </c>
      <c r="Z7" s="16">
        <f>COLUMN()</f>
        <v>26</v>
      </c>
      <c r="AA7" s="16">
        <f>COLUMN()</f>
        <v>27</v>
      </c>
      <c r="AB7" s="16">
        <f>COLUMN()</f>
        <v>28</v>
      </c>
      <c r="AC7" s="16">
        <f>COLUMN()</f>
        <v>29</v>
      </c>
      <c r="AD7" s="16">
        <f>COLUMN()</f>
        <v>30</v>
      </c>
      <c r="AE7" s="16">
        <f>COLUMN()</f>
        <v>31</v>
      </c>
      <c r="AF7" s="16">
        <f>COLUMN()</f>
        <v>32</v>
      </c>
      <c r="AG7" s="16">
        <f>COLUMN()</f>
        <v>33</v>
      </c>
      <c r="AH7" s="16">
        <f>COLUMN()</f>
        <v>34</v>
      </c>
      <c r="AI7" s="16">
        <f>COLUMN()</f>
        <v>35</v>
      </c>
      <c r="AJ7" s="16">
        <f>COLUMN()</f>
        <v>36</v>
      </c>
      <c r="AK7" s="16">
        <f>COLUMN()</f>
        <v>37</v>
      </c>
      <c r="AL7" s="16">
        <f>COLUMN()</f>
        <v>38</v>
      </c>
      <c r="AM7" s="16">
        <f>COLUMN()</f>
        <v>39</v>
      </c>
      <c r="AN7" s="16">
        <f>COLUMN()</f>
        <v>40</v>
      </c>
      <c r="AO7" s="16">
        <f>COLUMN()</f>
        <v>41</v>
      </c>
      <c r="AP7" s="16">
        <f>COLUMN()</f>
        <v>42</v>
      </c>
    </row>
    <row r="8" spans="1:56" ht="15.75" x14ac:dyDescent="0.25">
      <c r="A8" s="9" t="s">
        <v>24</v>
      </c>
      <c r="B8" s="9">
        <v>0</v>
      </c>
      <c r="C8" s="61">
        <v>2225307</v>
      </c>
      <c r="D8" s="61">
        <v>2487351.4</v>
      </c>
      <c r="E8" s="61">
        <v>173206.50684931508</v>
      </c>
      <c r="F8" s="61">
        <v>7209.9064452358652</v>
      </c>
      <c r="G8" s="18">
        <f t="shared" ref="G8:H20" si="0">G9+C8</f>
        <v>23385731</v>
      </c>
      <c r="H8" s="18">
        <f t="shared" si="0"/>
        <v>25003493.479899619</v>
      </c>
      <c r="I8" s="18">
        <f t="shared" ref="I8:I19" si="1">I9+E8</f>
        <v>1508748.2493150684</v>
      </c>
      <c r="J8" s="18">
        <f t="shared" ref="J8:J19" si="2">J9+F8</f>
        <v>-34095.045669071464</v>
      </c>
      <c r="K8" s="18">
        <f t="shared" ref="K8:K25" si="3">G$3*(G8*H8)^0.5</f>
        <v>129320122.85934244</v>
      </c>
      <c r="L8" s="18"/>
      <c r="M8" s="18"/>
      <c r="N8" s="19" t="e">
        <f>IF(L8="", NA(),(H8-G8-J8)/K8)</f>
        <v>#N/A</v>
      </c>
      <c r="O8" s="19">
        <v>0</v>
      </c>
      <c r="P8" s="9"/>
      <c r="Q8" s="11">
        <f ca="1">Q$27+Q$33*O8</f>
        <v>-3.0733096622935774E-3</v>
      </c>
      <c r="R8" s="9"/>
      <c r="Z8" s="26">
        <f t="shared" ref="Z8:Z25" ca="1" si="4">C8/Q$29</f>
        <v>2262184.4147064919</v>
      </c>
      <c r="AA8" s="26">
        <f t="shared" ref="AA8:AA25" ca="1" si="5">D8/Q$30</f>
        <v>2487351.4</v>
      </c>
      <c r="AB8" s="26">
        <f t="shared" ref="AB8:AB25" ca="1" si="6">E8/Q$32</f>
        <v>193393.53893143937</v>
      </c>
      <c r="AC8" s="26">
        <f t="shared" ref="AC8:AC25" ca="1" si="7">G$3*(Z8*AA8)^0.5</f>
        <v>12685946.12426273</v>
      </c>
      <c r="AD8" s="9">
        <f t="shared" ref="AD8:AD25" ca="1" si="8">AB8/AC8</f>
        <v>1.52447075714409E-2</v>
      </c>
      <c r="AE8" s="9">
        <v>0</v>
      </c>
      <c r="AF8" s="9"/>
      <c r="AG8" s="9"/>
      <c r="AH8" s="9"/>
      <c r="AI8" s="33"/>
      <c r="AJ8" s="9"/>
      <c r="AK8" s="9"/>
      <c r="AL8" s="9"/>
      <c r="AM8" s="9"/>
      <c r="AN8" s="9"/>
      <c r="AO8" s="9"/>
      <c r="AP8" s="9">
        <v>0</v>
      </c>
      <c r="BC8" s="5" t="s">
        <v>64</v>
      </c>
      <c r="BD8" s="5" t="s">
        <v>65</v>
      </c>
    </row>
    <row r="9" spans="1:56" ht="15.75" x14ac:dyDescent="0.25">
      <c r="A9" s="9" t="s">
        <v>25</v>
      </c>
      <c r="B9" s="9">
        <v>5</v>
      </c>
      <c r="C9" s="61">
        <v>2427103</v>
      </c>
      <c r="D9" s="61">
        <v>2550916</v>
      </c>
      <c r="E9" s="61">
        <v>12995.802739726028</v>
      </c>
      <c r="F9" s="61">
        <v>560.75575271962794</v>
      </c>
      <c r="G9" s="18">
        <f t="shared" si="0"/>
        <v>21160424</v>
      </c>
      <c r="H9" s="18">
        <f t="shared" si="0"/>
        <v>22516142.07989962</v>
      </c>
      <c r="I9" s="18">
        <f t="shared" si="1"/>
        <v>1335541.7424657533</v>
      </c>
      <c r="J9" s="18">
        <f t="shared" si="2"/>
        <v>-41304.952114307329</v>
      </c>
      <c r="K9" s="18">
        <f t="shared" si="3"/>
        <v>116734562.62568614</v>
      </c>
      <c r="L9" s="18">
        <f t="shared" ref="L9:L20" si="9">G$3*(C8*D9)^0.5/5</f>
        <v>2548374.9596017292</v>
      </c>
      <c r="M9" s="19">
        <f t="shared" ref="M9:M20" si="10">IF(L9="",NA(),L9/K9)</f>
        <v>2.1830509339150834E-2</v>
      </c>
      <c r="N9" s="19">
        <f>IF(L9="", NA(),(H9-G9-J9)/K9)</f>
        <v>1.1967518450328509E-2</v>
      </c>
      <c r="O9" s="19">
        <f t="shared" ref="O9:O23" si="11">IF(L9="",NA(),I9/K9)</f>
        <v>1.1440842475661808E-2</v>
      </c>
      <c r="P9" s="19">
        <f t="shared" ref="P9:P14" si="12">IF(L$2&lt;B10,M9-N9,NA())</f>
        <v>9.8629908888223251E-3</v>
      </c>
      <c r="Q9" s="11">
        <f t="shared" ref="Q9:Q24" ca="1" si="13">Q$27+Q$33*O9</f>
        <v>9.7009506987808247E-3</v>
      </c>
      <c r="R9" s="11">
        <f t="shared" ref="R9:R15" ca="1" si="14">IF(L$2&lt;B10,P9-Q9,NA())</f>
        <v>1.6204019004150035E-4</v>
      </c>
      <c r="Z9" s="26">
        <f t="shared" ca="1" si="4"/>
        <v>2467324.5442032809</v>
      </c>
      <c r="AA9" s="26">
        <f t="shared" ca="1" si="5"/>
        <v>2550916</v>
      </c>
      <c r="AB9" s="26">
        <f t="shared" ca="1" si="6"/>
        <v>14510.449571487625</v>
      </c>
      <c r="AC9" s="26">
        <f t="shared" ca="1" si="7"/>
        <v>13416879.084393498</v>
      </c>
      <c r="AD9" s="9">
        <f t="shared" ca="1" si="8"/>
        <v>1.0815070688358641E-3</v>
      </c>
      <c r="AE9" s="9">
        <v>5</v>
      </c>
      <c r="AF9" s="9">
        <f t="shared" ref="AF9:AF25" ca="1" si="15">5*AD9/(1+2.5*AD9)</f>
        <v>5.3929540493635863E-3</v>
      </c>
      <c r="AG9" s="9">
        <v>1</v>
      </c>
      <c r="AH9" s="9"/>
      <c r="AI9" s="33">
        <f t="shared" ref="AI9:AI25" si="16">IF(C$3="Males",BC9,BD9)</f>
        <v>-1.0860512229077721</v>
      </c>
      <c r="AJ9" s="34">
        <f t="shared" ref="AJ9:AJ25" si="17">1/(1+EXP(2*AI9))</f>
        <v>0.89771617849021024</v>
      </c>
      <c r="AK9" s="9"/>
      <c r="AL9" s="9"/>
      <c r="AM9" s="35">
        <v>100000</v>
      </c>
      <c r="AN9" s="35">
        <f t="shared" ref="AN9:AN25" ca="1" si="18">AN10+2.5*(AM10+AM9)</f>
        <v>5240246.3750487398</v>
      </c>
      <c r="AO9" s="31">
        <f t="shared" ref="AO9:AO26" ca="1" si="19">AN9/AM9</f>
        <v>52.402463750487399</v>
      </c>
      <c r="AP9" s="9">
        <v>5</v>
      </c>
      <c r="AQ9" s="11">
        <f ca="1">(AM9-AM10)/(2.5*(AM9+AM10))</f>
        <v>1.5659328836568415E-2</v>
      </c>
      <c r="BB9">
        <v>5</v>
      </c>
      <c r="BC9">
        <v>-1.1434029180729064</v>
      </c>
      <c r="BD9">
        <v>-1.0860512229077721</v>
      </c>
    </row>
    <row r="10" spans="1:56" ht="15.75" x14ac:dyDescent="0.25">
      <c r="A10" s="9" t="s">
        <v>26</v>
      </c>
      <c r="B10" s="9">
        <v>10</v>
      </c>
      <c r="C10" s="61">
        <v>2542977</v>
      </c>
      <c r="D10" s="61">
        <v>2488108.7000000002</v>
      </c>
      <c r="E10" s="61">
        <v>9228.2602739726026</v>
      </c>
      <c r="F10" s="61">
        <v>1119.4675382905673</v>
      </c>
      <c r="G10" s="18">
        <f t="shared" si="0"/>
        <v>18733321</v>
      </c>
      <c r="H10" s="18">
        <f t="shared" si="0"/>
        <v>19965226.07989962</v>
      </c>
      <c r="I10" s="18">
        <f t="shared" si="1"/>
        <v>1322545.9397260274</v>
      </c>
      <c r="J10" s="18">
        <f t="shared" si="2"/>
        <v>-41865.707867026955</v>
      </c>
      <c r="K10" s="18">
        <f t="shared" si="3"/>
        <v>103427205.60751894</v>
      </c>
      <c r="L10" s="18">
        <f t="shared" si="9"/>
        <v>2628446.0147530981</v>
      </c>
      <c r="M10" s="19">
        <f t="shared" si="10"/>
        <v>2.5413487672937919E-2</v>
      </c>
      <c r="N10" s="19">
        <f t="shared" ref="N10:N24" si="20">IF(L10="", NA(),(H10-G10-J10)/K10)</f>
        <v>1.2315626051044028E-2</v>
      </c>
      <c r="O10" s="19">
        <f t="shared" si="11"/>
        <v>1.2787215239525732E-2</v>
      </c>
      <c r="P10" s="19">
        <f t="shared" si="12"/>
        <v>1.3097861621893891E-2</v>
      </c>
      <c r="Q10" s="11">
        <f t="shared" ca="1" si="13"/>
        <v>1.1204241760190374E-2</v>
      </c>
      <c r="R10" s="11">
        <f t="shared" ca="1" si="14"/>
        <v>1.8936198617035167E-3</v>
      </c>
      <c r="Z10" s="26">
        <f t="shared" ca="1" si="4"/>
        <v>2585118.7887141285</v>
      </c>
      <c r="AA10" s="26">
        <f t="shared" ca="1" si="5"/>
        <v>2488108.7000000002</v>
      </c>
      <c r="AB10" s="26">
        <f t="shared" ca="1" si="6"/>
        <v>10303.804083507117</v>
      </c>
      <c r="AC10" s="26">
        <f t="shared" ca="1" si="7"/>
        <v>13563295.209425269</v>
      </c>
      <c r="AD10" s="9">
        <f t="shared" ca="1" si="8"/>
        <v>7.5968294757360294E-4</v>
      </c>
      <c r="AE10" s="9">
        <v>10</v>
      </c>
      <c r="AF10" s="9">
        <f t="shared" ca="1" si="15"/>
        <v>3.7912144354749523E-3</v>
      </c>
      <c r="AG10" s="9">
        <f t="shared" ref="AG10:AG26" ca="1" si="21">AG9*(1-AF9)</f>
        <v>0.99460704595063643</v>
      </c>
      <c r="AH10" s="33">
        <f t="shared" ref="AH10:AH26" ca="1" si="22">IF(AG10=0,NA(),0.5*LN((1-AG10)/AG10))</f>
        <v>-2.6086272172821037</v>
      </c>
      <c r="AI10" s="33">
        <f t="shared" si="16"/>
        <v>-1.034124555914081</v>
      </c>
      <c r="AJ10" s="34">
        <f t="shared" si="17"/>
        <v>0.88777864283857011</v>
      </c>
      <c r="AK10" s="33">
        <f t="shared" ref="AK10:AK26" si="23">0.5*LN((AJ$9-AJ10)/AJ10)</f>
        <v>-2.2462016841372945</v>
      </c>
      <c r="AL10" s="33">
        <f t="shared" ref="AL10:AL26" ca="1" si="24">AL$3+AL$4*AK10</f>
        <v>-1.2536576560152684</v>
      </c>
      <c r="AM10" s="35">
        <f t="shared" ref="AM10:AM26" ca="1" si="25">100000*(1/(1+EXP(2*AL10)))</f>
        <v>92465.30620140348</v>
      </c>
      <c r="AN10" s="35">
        <f t="shared" ca="1" si="18"/>
        <v>4759083.1095452309</v>
      </c>
      <c r="AO10" s="31">
        <f t="shared" ca="1" si="19"/>
        <v>51.468851454179202</v>
      </c>
      <c r="AP10" s="9">
        <v>10</v>
      </c>
      <c r="AQ10" s="11">
        <f t="shared" ref="AQ10:AQ25" ca="1" si="26">(AM10-AM11)/(2.5*(AM10+AM11))</f>
        <v>6.8274320714915258E-3</v>
      </c>
      <c r="BB10">
        <v>10</v>
      </c>
      <c r="BC10">
        <v>-1.0961387766179003</v>
      </c>
      <c r="BD10">
        <v>-1.034124555914081</v>
      </c>
    </row>
    <row r="11" spans="1:56" ht="15.75" x14ac:dyDescent="0.25">
      <c r="A11" s="9" t="s">
        <v>27</v>
      </c>
      <c r="B11" s="9">
        <v>15</v>
      </c>
      <c r="C11" s="61">
        <v>2528703</v>
      </c>
      <c r="D11" s="61">
        <v>2534285</v>
      </c>
      <c r="E11" s="61">
        <v>23962.673972602737</v>
      </c>
      <c r="F11" s="61">
        <v>8161.2519651329685</v>
      </c>
      <c r="G11" s="18">
        <f t="shared" si="0"/>
        <v>16190344</v>
      </c>
      <c r="H11" s="18">
        <f t="shared" si="0"/>
        <v>17477117.379899621</v>
      </c>
      <c r="I11" s="18">
        <f t="shared" si="1"/>
        <v>1313317.6794520549</v>
      </c>
      <c r="J11" s="18">
        <f t="shared" si="2"/>
        <v>-42985.175405317525</v>
      </c>
      <c r="K11" s="18">
        <f t="shared" si="3"/>
        <v>89960783.079477727</v>
      </c>
      <c r="L11" s="18">
        <f t="shared" si="9"/>
        <v>2715308.7914566733</v>
      </c>
      <c r="M11" s="19">
        <f t="shared" si="10"/>
        <v>3.0183249839630423E-2</v>
      </c>
      <c r="N11" s="19">
        <f t="shared" si="20"/>
        <v>1.4781536018090635E-2</v>
      </c>
      <c r="O11" s="19">
        <f t="shared" si="11"/>
        <v>1.4598779984960526E-2</v>
      </c>
      <c r="P11" s="19">
        <f t="shared" si="12"/>
        <v>1.5401713821539788E-2</v>
      </c>
      <c r="Q11" s="11">
        <f t="shared" ca="1" si="13"/>
        <v>1.3226942428288584E-2</v>
      </c>
      <c r="R11" s="11">
        <f t="shared" ca="1" si="14"/>
        <v>2.1747713932512049E-3</v>
      </c>
      <c r="Z11" s="26">
        <f t="shared" ca="1" si="4"/>
        <v>2570608.2423780407</v>
      </c>
      <c r="AA11" s="26">
        <f t="shared" ca="1" si="5"/>
        <v>2534285</v>
      </c>
      <c r="AB11" s="26">
        <f t="shared" ca="1" si="6"/>
        <v>26755.497851207096</v>
      </c>
      <c r="AC11" s="26">
        <f t="shared" ca="1" si="7"/>
        <v>13650104.049278451</v>
      </c>
      <c r="AD11" s="9">
        <f t="shared" ca="1" si="8"/>
        <v>1.9600947915573872E-3</v>
      </c>
      <c r="AE11" s="9">
        <v>15</v>
      </c>
      <c r="AF11" s="9">
        <f t="shared" ca="1" si="15"/>
        <v>9.7526834974691941E-3</v>
      </c>
      <c r="AG11" s="9">
        <f t="shared" ca="1" si="21"/>
        <v>0.99083627736040325</v>
      </c>
      <c r="AH11" s="33">
        <f t="shared" ca="1" si="22"/>
        <v>-2.3416484066630652</v>
      </c>
      <c r="AI11" s="33">
        <f t="shared" si="16"/>
        <v>-0.99681256169914434</v>
      </c>
      <c r="AJ11" s="34">
        <f t="shared" si="17"/>
        <v>0.8801261303507516</v>
      </c>
      <c r="AK11" s="33">
        <f t="shared" si="23"/>
        <v>-1.9563659658241628</v>
      </c>
      <c r="AL11" s="33">
        <f t="shared" ca="1" si="24"/>
        <v>-1.0641197418992949</v>
      </c>
      <c r="AM11" s="35">
        <f t="shared" ca="1" si="25"/>
        <v>89361.776069006664</v>
      </c>
      <c r="AN11" s="35">
        <f t="shared" ca="1" si="18"/>
        <v>4304515.4038692052</v>
      </c>
      <c r="AO11" s="31">
        <f t="shared" ca="1" si="19"/>
        <v>48.16953728118817</v>
      </c>
      <c r="AP11" s="9">
        <v>15</v>
      </c>
      <c r="AQ11" s="11">
        <f t="shared" ca="1" si="26"/>
        <v>8.0796876444706248E-3</v>
      </c>
      <c r="BB11">
        <v>15</v>
      </c>
      <c r="BC11">
        <v>-1.0628310345295178</v>
      </c>
      <c r="BD11">
        <v>-0.99681256169914434</v>
      </c>
    </row>
    <row r="12" spans="1:56" ht="15.75" x14ac:dyDescent="0.25">
      <c r="A12" s="9" t="s">
        <v>28</v>
      </c>
      <c r="B12" s="9">
        <v>20</v>
      </c>
      <c r="C12" s="61">
        <v>2195331</v>
      </c>
      <c r="D12" s="61">
        <v>2422487.4</v>
      </c>
      <c r="E12" s="61">
        <v>75445.72054794521</v>
      </c>
      <c r="F12" s="61">
        <v>-11200.056033006384</v>
      </c>
      <c r="G12" s="18">
        <f t="shared" si="0"/>
        <v>13661641</v>
      </c>
      <c r="H12" s="18">
        <f t="shared" si="0"/>
        <v>14942832.379899621</v>
      </c>
      <c r="I12" s="18">
        <f t="shared" si="1"/>
        <v>1289355.0054794522</v>
      </c>
      <c r="J12" s="18">
        <f t="shared" si="2"/>
        <v>-51146.427370450496</v>
      </c>
      <c r="K12" s="18">
        <f t="shared" si="3"/>
        <v>76411404.819487244</v>
      </c>
      <c r="L12" s="18">
        <f t="shared" si="9"/>
        <v>2647280.4866026551</v>
      </c>
      <c r="M12" s="19">
        <f t="shared" si="10"/>
        <v>3.4645096407487037E-2</v>
      </c>
      <c r="N12" s="19">
        <f t="shared" si="20"/>
        <v>1.7436373672458441E-2</v>
      </c>
      <c r="O12" s="19">
        <f t="shared" si="11"/>
        <v>1.6873855526218871E-2</v>
      </c>
      <c r="P12" s="19">
        <f t="shared" si="12"/>
        <v>1.7208722735028596E-2</v>
      </c>
      <c r="Q12" s="11">
        <f t="shared" ca="1" si="13"/>
        <v>1.5767175576937475E-2</v>
      </c>
      <c r="R12" s="11">
        <f t="shared" ca="1" si="14"/>
        <v>1.4415471580911214E-3</v>
      </c>
      <c r="Z12" s="26">
        <f t="shared" ca="1" si="4"/>
        <v>2231711.6574576083</v>
      </c>
      <c r="AA12" s="26">
        <f t="shared" ca="1" si="5"/>
        <v>2422487.4</v>
      </c>
      <c r="AB12" s="26">
        <f t="shared" ca="1" si="6"/>
        <v>84238.838132640478</v>
      </c>
      <c r="AC12" s="26">
        <f t="shared" ca="1" si="7"/>
        <v>12434836.85957884</v>
      </c>
      <c r="AD12" s="9">
        <f t="shared" ca="1" si="8"/>
        <v>6.7744224619842412E-3</v>
      </c>
      <c r="AE12" s="9">
        <v>20</v>
      </c>
      <c r="AF12" s="9">
        <f t="shared" ca="1" si="15"/>
        <v>3.330800604906449E-2</v>
      </c>
      <c r="AG12" s="9">
        <f t="shared" ca="1" si="21"/>
        <v>0.98117296474949667</v>
      </c>
      <c r="AH12" s="33">
        <f t="shared" ca="1" si="22"/>
        <v>-1.9767274383372515</v>
      </c>
      <c r="AI12" s="33">
        <f t="shared" si="16"/>
        <v>-0.94631156910081071</v>
      </c>
      <c r="AJ12" s="34">
        <f t="shared" si="17"/>
        <v>0.86905432989800457</v>
      </c>
      <c r="AK12" s="33">
        <f t="shared" si="23"/>
        <v>-1.7059193611185397</v>
      </c>
      <c r="AL12" s="33">
        <f t="shared" ca="1" si="24"/>
        <v>-0.90034031771511946</v>
      </c>
      <c r="AM12" s="35">
        <f t="shared" ca="1" si="25"/>
        <v>85823.176820608191</v>
      </c>
      <c r="AN12" s="35">
        <f t="shared" ca="1" si="18"/>
        <v>3866553.0216451678</v>
      </c>
      <c r="AO12" s="31">
        <f t="shared" ca="1" si="19"/>
        <v>45.052550661544799</v>
      </c>
      <c r="AP12" s="9">
        <v>20</v>
      </c>
      <c r="AQ12" s="11">
        <f t="shared" ca="1" si="26"/>
        <v>8.8837213245904871E-3</v>
      </c>
      <c r="BB12">
        <v>20</v>
      </c>
      <c r="BC12">
        <v>-1.0126199390449784</v>
      </c>
      <c r="BD12">
        <v>-0.94631156910081071</v>
      </c>
    </row>
    <row r="13" spans="1:56" ht="15.75" x14ac:dyDescent="0.25">
      <c r="A13" s="9" t="s">
        <v>29</v>
      </c>
      <c r="B13" s="9">
        <v>25</v>
      </c>
      <c r="C13" s="61">
        <v>2035931</v>
      </c>
      <c r="D13" s="61">
        <v>2021156.4</v>
      </c>
      <c r="E13" s="61">
        <v>137708.45205479453</v>
      </c>
      <c r="F13" s="61">
        <v>-67587.861451447796</v>
      </c>
      <c r="G13" s="18">
        <f t="shared" si="0"/>
        <v>11466310</v>
      </c>
      <c r="H13" s="18">
        <f t="shared" si="0"/>
        <v>12520344.979899621</v>
      </c>
      <c r="I13" s="18">
        <f t="shared" si="1"/>
        <v>1213909.284931507</v>
      </c>
      <c r="J13" s="18">
        <f t="shared" si="2"/>
        <v>-39946.371337444114</v>
      </c>
      <c r="K13" s="18">
        <f t="shared" si="3"/>
        <v>64078195.728192031</v>
      </c>
      <c r="L13" s="18">
        <f t="shared" si="9"/>
        <v>2253046.9856409202</v>
      </c>
      <c r="M13" s="19">
        <f t="shared" si="10"/>
        <v>3.5160899273723824E-2</v>
      </c>
      <c r="N13" s="19">
        <f t="shared" si="20"/>
        <v>1.7072599170512435E-2</v>
      </c>
      <c r="O13" s="19">
        <f t="shared" si="11"/>
        <v>1.89441864137481E-2</v>
      </c>
      <c r="P13" s="19">
        <f t="shared" si="12"/>
        <v>1.8088300103211389E-2</v>
      </c>
      <c r="Q13" s="11">
        <f t="shared" ca="1" si="13"/>
        <v>1.8078801302676941E-2</v>
      </c>
      <c r="R13" s="11">
        <f t="shared" ca="1" si="14"/>
        <v>9.4988005344479043E-6</v>
      </c>
      <c r="Z13" s="26">
        <f t="shared" ca="1" si="4"/>
        <v>2069670.1073684678</v>
      </c>
      <c r="AA13" s="26">
        <f t="shared" ca="1" si="5"/>
        <v>2021156.4</v>
      </c>
      <c r="AB13" s="26">
        <f t="shared" ca="1" si="6"/>
        <v>153758.22403032586</v>
      </c>
      <c r="AC13" s="26">
        <f t="shared" ca="1" si="7"/>
        <v>10938072.850696014</v>
      </c>
      <c r="AD13" s="9">
        <f t="shared" ca="1" si="8"/>
        <v>1.4057158525922771E-2</v>
      </c>
      <c r="AE13" s="9">
        <v>25</v>
      </c>
      <c r="AF13" s="9">
        <f t="shared" ca="1" si="15"/>
        <v>6.789960389028124E-2</v>
      </c>
      <c r="AG13" s="9">
        <f t="shared" ca="1" si="21"/>
        <v>0.9484920497044419</v>
      </c>
      <c r="AH13" s="33">
        <f t="shared" ca="1" si="22"/>
        <v>-1.4565686184734554</v>
      </c>
      <c r="AI13" s="33">
        <f t="shared" si="16"/>
        <v>-0.88558129023269483</v>
      </c>
      <c r="AJ13" s="34">
        <f t="shared" si="17"/>
        <v>0.8546021897196926</v>
      </c>
      <c r="AK13" s="33">
        <f t="shared" si="23"/>
        <v>-1.4933942877950264</v>
      </c>
      <c r="AL13" s="33">
        <f t="shared" ca="1" si="24"/>
        <v>-0.76135965884558776</v>
      </c>
      <c r="AM13" s="35">
        <f t="shared" ca="1" si="25"/>
        <v>82093.856496505163</v>
      </c>
      <c r="AN13" s="35">
        <f t="shared" ca="1" si="18"/>
        <v>3446760.4383523846</v>
      </c>
      <c r="AO13" s="31">
        <f t="shared" ca="1" si="19"/>
        <v>41.985607516186278</v>
      </c>
      <c r="AP13" s="9">
        <v>25</v>
      </c>
      <c r="AQ13" s="11">
        <f t="shared" ca="1" si="26"/>
        <v>8.7799172536332237E-3</v>
      </c>
      <c r="BB13">
        <v>25</v>
      </c>
      <c r="BC13">
        <v>-0.94838162794560865</v>
      </c>
      <c r="BD13">
        <v>-0.88558129023269483</v>
      </c>
    </row>
    <row r="14" spans="1:56" ht="15.75" x14ac:dyDescent="0.25">
      <c r="A14" s="9" t="s">
        <v>30</v>
      </c>
      <c r="B14" s="9">
        <v>30</v>
      </c>
      <c r="C14" s="61">
        <v>1746535</v>
      </c>
      <c r="D14" s="61">
        <v>1850429.3</v>
      </c>
      <c r="E14" s="61">
        <v>152191.89041095891</v>
      </c>
      <c r="F14" s="61">
        <v>7085.842293107904</v>
      </c>
      <c r="G14" s="18">
        <f t="shared" si="0"/>
        <v>9430379</v>
      </c>
      <c r="H14" s="18">
        <f t="shared" si="0"/>
        <v>10499188.57989962</v>
      </c>
      <c r="I14" s="18">
        <f t="shared" si="1"/>
        <v>1076200.8328767125</v>
      </c>
      <c r="J14" s="18">
        <f t="shared" si="2"/>
        <v>27641.490114003678</v>
      </c>
      <c r="K14" s="18">
        <f t="shared" si="3"/>
        <v>53214836.131458044</v>
      </c>
      <c r="L14" s="18">
        <f t="shared" si="9"/>
        <v>2076051.1951370041</v>
      </c>
      <c r="M14" s="19">
        <f t="shared" si="10"/>
        <v>3.9012639069459482E-2</v>
      </c>
      <c r="N14" s="19">
        <f t="shared" si="20"/>
        <v>1.9565372468940634E-2</v>
      </c>
      <c r="O14" s="19">
        <f t="shared" si="11"/>
        <v>2.0223699086813773E-2</v>
      </c>
      <c r="P14" s="19">
        <f t="shared" si="12"/>
        <v>1.9447266600518848E-2</v>
      </c>
      <c r="Q14" s="11">
        <f t="shared" ca="1" si="13"/>
        <v>1.9507439801616653E-2</v>
      </c>
      <c r="R14" s="11">
        <f t="shared" ca="1" si="14"/>
        <v>-6.0173201097805246E-5</v>
      </c>
      <c r="Z14" s="26">
        <f t="shared" ca="1" si="4"/>
        <v>1775478.2853509216</v>
      </c>
      <c r="AA14" s="26">
        <f t="shared" ca="1" si="5"/>
        <v>1850429.3</v>
      </c>
      <c r="AB14" s="26">
        <f t="shared" ca="1" si="6"/>
        <v>169929.69154933066</v>
      </c>
      <c r="AC14" s="26">
        <f t="shared" ca="1" si="7"/>
        <v>9693580.4333466943</v>
      </c>
      <c r="AD14" s="9">
        <f t="shared" ca="1" si="8"/>
        <v>1.753012653247905E-2</v>
      </c>
      <c r="AE14" s="9">
        <v>30</v>
      </c>
      <c r="AF14" s="9">
        <f t="shared" ca="1" si="15"/>
        <v>8.3970594783489991E-2</v>
      </c>
      <c r="AG14" s="9">
        <f t="shared" ca="1" si="21"/>
        <v>0.88408981523642927</v>
      </c>
      <c r="AH14" s="33">
        <f t="shared" ca="1" si="22"/>
        <v>-1.0158715182486366</v>
      </c>
      <c r="AI14" s="33">
        <f t="shared" si="16"/>
        <v>-0.82239454942157775</v>
      </c>
      <c r="AJ14" s="34">
        <f t="shared" si="17"/>
        <v>0.83818553796241291</v>
      </c>
      <c r="AK14" s="33">
        <f t="shared" si="23"/>
        <v>-1.322374167401569</v>
      </c>
      <c r="AL14" s="33">
        <f t="shared" ca="1" si="24"/>
        <v>-0.64952114190952681</v>
      </c>
      <c r="AM14" s="35">
        <f t="shared" ca="1" si="25"/>
        <v>78567.37568544448</v>
      </c>
      <c r="AN14" s="35">
        <f t="shared" ca="1" si="18"/>
        <v>3045107.3578975103</v>
      </c>
      <c r="AO14" s="31">
        <f t="shared" ca="1" si="19"/>
        <v>38.75791104553403</v>
      </c>
      <c r="AP14" s="9">
        <v>30</v>
      </c>
      <c r="AQ14" s="11">
        <f t="shared" ca="1" si="26"/>
        <v>8.8495626275766816E-3</v>
      </c>
      <c r="BB14">
        <v>30</v>
      </c>
      <c r="BC14">
        <v>-0.88749566047132844</v>
      </c>
      <c r="BD14">
        <v>-0.82239454942157775</v>
      </c>
    </row>
    <row r="15" spans="1:56" ht="15.75" x14ac:dyDescent="0.25">
      <c r="A15" s="9" t="s">
        <v>31</v>
      </c>
      <c r="B15" s="9">
        <v>35</v>
      </c>
      <c r="C15" s="61">
        <v>1630368</v>
      </c>
      <c r="D15" s="61">
        <v>1664349.2</v>
      </c>
      <c r="E15" s="61">
        <v>126082.76438356165</v>
      </c>
      <c r="F15" s="61">
        <v>5479.4041845223192</v>
      </c>
      <c r="G15" s="18">
        <f t="shared" si="0"/>
        <v>7683844</v>
      </c>
      <c r="H15" s="18">
        <f t="shared" si="0"/>
        <v>8648759.2798996195</v>
      </c>
      <c r="I15" s="18">
        <f t="shared" si="1"/>
        <v>924008.94246575353</v>
      </c>
      <c r="J15" s="18">
        <f t="shared" si="2"/>
        <v>20555.647820895774</v>
      </c>
      <c r="K15" s="18">
        <f t="shared" si="3"/>
        <v>43596985.563616589</v>
      </c>
      <c r="L15" s="18">
        <f t="shared" si="9"/>
        <v>1823606.600681914</v>
      </c>
      <c r="M15" s="19">
        <f t="shared" si="10"/>
        <v>4.1828731438803557E-2</v>
      </c>
      <c r="N15" s="19">
        <f t="shared" si="20"/>
        <v>2.1661122205357916E-2</v>
      </c>
      <c r="O15" s="19">
        <f t="shared" si="11"/>
        <v>2.1194330996060325E-2</v>
      </c>
      <c r="P15" s="19">
        <f t="shared" ref="P15:P19" si="27">IF(E15&gt;0,M15-N15,NA())</f>
        <v>2.0167609233445641E-2</v>
      </c>
      <c r="Q15" s="11">
        <f t="shared" ca="1" si="13"/>
        <v>2.0591197815928875E-2</v>
      </c>
      <c r="R15" s="11">
        <f t="shared" ca="1" si="14"/>
        <v>-4.235885824832343E-4</v>
      </c>
      <c r="Z15" s="26">
        <f t="shared" ca="1" si="4"/>
        <v>1657386.1852931725</v>
      </c>
      <c r="AA15" s="26">
        <f t="shared" ca="1" si="5"/>
        <v>1664349.2</v>
      </c>
      <c r="AB15" s="26">
        <f t="shared" ca="1" si="6"/>
        <v>140777.57496494567</v>
      </c>
      <c r="AC15" s="26">
        <f t="shared" ca="1" si="7"/>
        <v>8882278.1801283248</v>
      </c>
      <c r="AD15" s="9">
        <f t="shared" ca="1" si="8"/>
        <v>1.5849264356513525E-2</v>
      </c>
      <c r="AE15" s="9">
        <v>35</v>
      </c>
      <c r="AF15" s="9">
        <f t="shared" ca="1" si="15"/>
        <v>7.6226006464331392E-2</v>
      </c>
      <c r="AG15" s="9">
        <f t="shared" ca="1" si="21"/>
        <v>0.80985226760900053</v>
      </c>
      <c r="AH15" s="33">
        <f t="shared" ca="1" si="22"/>
        <v>-0.72452526821529117</v>
      </c>
      <c r="AI15" s="33">
        <f t="shared" si="16"/>
        <v>-0.75711437738138099</v>
      </c>
      <c r="AJ15" s="34">
        <f t="shared" si="17"/>
        <v>0.81968706271938474</v>
      </c>
      <c r="AK15" s="33">
        <f t="shared" si="23"/>
        <v>-1.1759203002186396</v>
      </c>
      <c r="AL15" s="33">
        <f t="shared" ca="1" si="24"/>
        <v>-0.55374771321817229</v>
      </c>
      <c r="AM15" s="35">
        <f t="shared" ca="1" si="25"/>
        <v>75166.188671109689</v>
      </c>
      <c r="AN15" s="35">
        <f t="shared" ca="1" si="18"/>
        <v>2660773.447006125</v>
      </c>
      <c r="AO15" s="31">
        <f t="shared" ca="1" si="19"/>
        <v>35.398541472527789</v>
      </c>
      <c r="AP15" s="9">
        <v>35</v>
      </c>
      <c r="AQ15" s="11">
        <f t="shared" ca="1" si="26"/>
        <v>9.1662839738404604E-3</v>
      </c>
      <c r="BB15">
        <v>35</v>
      </c>
      <c r="BC15">
        <v>-0.82525302757005348</v>
      </c>
      <c r="BD15">
        <v>-0.75711437738138099</v>
      </c>
    </row>
    <row r="16" spans="1:56" ht="15.75" x14ac:dyDescent="0.25">
      <c r="A16" s="9" t="s">
        <v>32</v>
      </c>
      <c r="B16" s="9">
        <v>40</v>
      </c>
      <c r="C16" s="61">
        <v>1385983</v>
      </c>
      <c r="D16" s="61">
        <v>1520926.4</v>
      </c>
      <c r="E16" s="61">
        <v>103207.80547945204</v>
      </c>
      <c r="F16" s="61">
        <v>3890.3238336318636</v>
      </c>
      <c r="G16" s="18">
        <f t="shared" si="0"/>
        <v>6053476</v>
      </c>
      <c r="H16" s="18">
        <f t="shared" si="0"/>
        <v>6984410.0798996203</v>
      </c>
      <c r="I16" s="18">
        <f t="shared" si="1"/>
        <v>797926.17808219185</v>
      </c>
      <c r="J16" s="18">
        <f t="shared" si="2"/>
        <v>15076.243636373456</v>
      </c>
      <c r="K16" s="18">
        <f t="shared" si="3"/>
        <v>34774233.43196582</v>
      </c>
      <c r="L16" s="18">
        <f t="shared" si="9"/>
        <v>1684291.2932319834</v>
      </c>
      <c r="M16" s="19">
        <f t="shared" si="10"/>
        <v>4.8435037296428729E-2</v>
      </c>
      <c r="N16" s="19">
        <f t="shared" si="20"/>
        <v>2.6337254509292932E-2</v>
      </c>
      <c r="O16" s="19">
        <f t="shared" si="11"/>
        <v>2.294590273695889E-2</v>
      </c>
      <c r="P16" s="19">
        <f t="shared" si="27"/>
        <v>2.2097782787135797E-2</v>
      </c>
      <c r="Q16" s="11">
        <f t="shared" ca="1" si="13"/>
        <v>2.254691335933726E-2</v>
      </c>
      <c r="R16" s="11">
        <f ca="1">P16-Q16</f>
        <v>-4.4913057220146227E-4</v>
      </c>
      <c r="Z16" s="26">
        <f t="shared" ca="1" si="4"/>
        <v>1408951.278025076</v>
      </c>
      <c r="AA16" s="26">
        <f t="shared" ca="1" si="5"/>
        <v>1520926.4</v>
      </c>
      <c r="AB16" s="26">
        <f t="shared" ca="1" si="6"/>
        <v>115236.56420357952</v>
      </c>
      <c r="AC16" s="26">
        <f t="shared" ca="1" si="7"/>
        <v>7828749.0911884094</v>
      </c>
      <c r="AD16" s="9">
        <f t="shared" ca="1" si="8"/>
        <v>1.4719665027109271E-2</v>
      </c>
      <c r="AE16" s="9">
        <v>40</v>
      </c>
      <c r="AF16" s="9">
        <f t="shared" ca="1" si="15"/>
        <v>7.0986096239960453E-2</v>
      </c>
      <c r="AG16" s="9">
        <f t="shared" ca="1" si="21"/>
        <v>0.74812046342308336</v>
      </c>
      <c r="AH16" s="33">
        <f t="shared" ca="1" si="22"/>
        <v>-0.54430653430128473</v>
      </c>
      <c r="AI16" s="33">
        <f t="shared" si="16"/>
        <v>-0.68897756049345338</v>
      </c>
      <c r="AJ16" s="34">
        <f t="shared" si="17"/>
        <v>0.79866238291751379</v>
      </c>
      <c r="AK16" s="33">
        <f t="shared" si="23"/>
        <v>-1.0436376073759615</v>
      </c>
      <c r="AL16" s="33">
        <f t="shared" ca="1" si="24"/>
        <v>-0.46724151646309392</v>
      </c>
      <c r="AM16" s="35">
        <f t="shared" ca="1" si="25"/>
        <v>71798.390992869361</v>
      </c>
      <c r="AN16" s="35">
        <f t="shared" ca="1" si="18"/>
        <v>2293361.9978461773</v>
      </c>
      <c r="AO16" s="31">
        <f t="shared" ca="1" si="19"/>
        <v>31.941690699920308</v>
      </c>
      <c r="AP16" s="9">
        <v>40</v>
      </c>
      <c r="AQ16" s="11">
        <f t="shared" ca="1" si="26"/>
        <v>9.7831707277377163E-3</v>
      </c>
      <c r="BB16">
        <v>40</v>
      </c>
      <c r="BC16">
        <v>-0.75648694616101142</v>
      </c>
      <c r="BD16">
        <v>-0.68897756049345338</v>
      </c>
    </row>
    <row r="17" spans="1:56" ht="15.75" x14ac:dyDescent="0.25">
      <c r="A17" s="9" t="s">
        <v>33</v>
      </c>
      <c r="B17" s="9">
        <v>45</v>
      </c>
      <c r="C17" s="61">
        <v>1119920</v>
      </c>
      <c r="D17" s="61">
        <v>1294503.5</v>
      </c>
      <c r="E17" s="61">
        <v>83290.271232876708</v>
      </c>
      <c r="F17" s="61">
        <v>1258.3410431470486</v>
      </c>
      <c r="G17" s="18">
        <f t="shared" si="0"/>
        <v>4667493</v>
      </c>
      <c r="H17" s="18">
        <f t="shared" si="0"/>
        <v>5463483.6798996199</v>
      </c>
      <c r="I17" s="18">
        <f t="shared" si="1"/>
        <v>694718.37260273984</v>
      </c>
      <c r="J17" s="18">
        <f t="shared" si="2"/>
        <v>11185.919802741593</v>
      </c>
      <c r="K17" s="18">
        <f t="shared" si="3"/>
        <v>27006415.814359095</v>
      </c>
      <c r="L17" s="18">
        <f t="shared" si="9"/>
        <v>1432685.4466221458</v>
      </c>
      <c r="M17" s="19">
        <f t="shared" si="10"/>
        <v>5.3049818105088881E-2</v>
      </c>
      <c r="N17" s="19">
        <f t="shared" si="20"/>
        <v>2.905993766413105E-2</v>
      </c>
      <c r="O17" s="19">
        <f t="shared" si="11"/>
        <v>2.5724197441756178E-2</v>
      </c>
      <c r="P17" s="19">
        <f t="shared" si="27"/>
        <v>2.3989880440957831E-2</v>
      </c>
      <c r="Q17" s="11">
        <f t="shared" ca="1" si="13"/>
        <v>2.5649015323801365E-2</v>
      </c>
      <c r="R17" s="11">
        <f ca="1">P17-Q17</f>
        <v>-1.659134882843534E-3</v>
      </c>
      <c r="Z17" s="26">
        <f t="shared" ca="1" si="4"/>
        <v>1138479.1265735894</v>
      </c>
      <c r="AA17" s="26">
        <f t="shared" ca="1" si="5"/>
        <v>1294503.5</v>
      </c>
      <c r="AB17" s="26">
        <f t="shared" ca="1" si="6"/>
        <v>92997.662762743857</v>
      </c>
      <c r="AC17" s="26">
        <f t="shared" ca="1" si="7"/>
        <v>6492387.5784679735</v>
      </c>
      <c r="AD17" s="9">
        <f t="shared" ca="1" si="8"/>
        <v>1.4324108294330878E-2</v>
      </c>
      <c r="AE17" s="9">
        <v>45</v>
      </c>
      <c r="AF17" s="9">
        <f t="shared" ca="1" si="15"/>
        <v>6.914445965164645E-2</v>
      </c>
      <c r="AG17" s="9">
        <f t="shared" ca="1" si="21"/>
        <v>0.69501431220744858</v>
      </c>
      <c r="AH17" s="33">
        <f t="shared" ca="1" si="22"/>
        <v>-0.41183379411046805</v>
      </c>
      <c r="AI17" s="33">
        <f t="shared" si="16"/>
        <v>-0.6165691229252338</v>
      </c>
      <c r="AJ17" s="34">
        <f t="shared" si="17"/>
        <v>0.77436736865687639</v>
      </c>
      <c r="AK17" s="33">
        <f t="shared" si="23"/>
        <v>-0.91851510163017136</v>
      </c>
      <c r="AL17" s="33">
        <f t="shared" ca="1" si="24"/>
        <v>-0.38541772025865456</v>
      </c>
      <c r="AM17" s="35">
        <f t="shared" ca="1" si="25"/>
        <v>68370.158858237381</v>
      </c>
      <c r="AN17" s="35">
        <f t="shared" ca="1" si="18"/>
        <v>1942940.6232184106</v>
      </c>
      <c r="AO17" s="31">
        <f t="shared" ca="1" si="19"/>
        <v>28.41796268525594</v>
      </c>
      <c r="AP17" s="9">
        <v>45</v>
      </c>
      <c r="AQ17" s="11">
        <f t="shared" ca="1" si="26"/>
        <v>1.1072256214328162E-2</v>
      </c>
      <c r="BB17">
        <v>45</v>
      </c>
      <c r="BC17">
        <v>-0.67540173860310226</v>
      </c>
      <c r="BD17">
        <v>-0.6165691229252338</v>
      </c>
    </row>
    <row r="18" spans="1:56" ht="15.75" x14ac:dyDescent="0.25">
      <c r="A18" s="9" t="s">
        <v>34</v>
      </c>
      <c r="B18" s="9">
        <v>50</v>
      </c>
      <c r="C18" s="61">
        <v>868636</v>
      </c>
      <c r="D18" s="61">
        <v>1074540.7</v>
      </c>
      <c r="E18" s="61">
        <v>72933.208219178079</v>
      </c>
      <c r="F18" s="61">
        <v>1157.3159949042856</v>
      </c>
      <c r="G18" s="18">
        <f t="shared" si="0"/>
        <v>3547573</v>
      </c>
      <c r="H18" s="18">
        <f t="shared" si="0"/>
        <v>4168980.1798996199</v>
      </c>
      <c r="I18" s="18">
        <f t="shared" si="1"/>
        <v>611428.10136986314</v>
      </c>
      <c r="J18" s="18">
        <f t="shared" si="2"/>
        <v>9927.578759594544</v>
      </c>
      <c r="K18" s="18">
        <f t="shared" si="3"/>
        <v>20566996.449663807</v>
      </c>
      <c r="L18" s="18">
        <f t="shared" si="9"/>
        <v>1173343.6254767759</v>
      </c>
      <c r="M18" s="19">
        <f t="shared" si="10"/>
        <v>5.7049828755912274E-2</v>
      </c>
      <c r="N18" s="19">
        <f t="shared" si="20"/>
        <v>2.9731108411312081E-2</v>
      </c>
      <c r="O18" s="19">
        <f t="shared" si="11"/>
        <v>2.9728604410774705E-2</v>
      </c>
      <c r="P18" s="19">
        <f t="shared" si="27"/>
        <v>2.7318720344600193E-2</v>
      </c>
      <c r="Q18" s="11">
        <f t="shared" ca="1" si="13"/>
        <v>3.0120131618144405E-2</v>
      </c>
      <c r="R18" s="11">
        <f ca="1">P18-Q18</f>
        <v>-2.8014112735442118E-3</v>
      </c>
      <c r="Z18" s="26">
        <f t="shared" ca="1" si="4"/>
        <v>883030.8902335671</v>
      </c>
      <c r="AA18" s="26">
        <f t="shared" ca="1" si="5"/>
        <v>1074540.7</v>
      </c>
      <c r="AB18" s="26">
        <f t="shared" ca="1" si="6"/>
        <v>81433.495194272298</v>
      </c>
      <c r="AC18" s="26">
        <f t="shared" ca="1" si="7"/>
        <v>5209423.5679843444</v>
      </c>
      <c r="AD18" s="9">
        <f t="shared" ca="1" si="8"/>
        <v>1.5631958916671646E-2</v>
      </c>
      <c r="AE18" s="9">
        <v>50</v>
      </c>
      <c r="AF18" s="9">
        <f t="shared" ca="1" si="15"/>
        <v>7.522019700994953E-2</v>
      </c>
      <c r="AG18" s="9">
        <f t="shared" ca="1" si="21"/>
        <v>0.64695792313970391</v>
      </c>
      <c r="AH18" s="33">
        <f t="shared" ca="1" si="22"/>
        <v>-0.30284700543231702</v>
      </c>
      <c r="AI18" s="33">
        <f t="shared" si="16"/>
        <v>-0.53576426891307305</v>
      </c>
      <c r="AJ18" s="34">
        <f t="shared" si="17"/>
        <v>0.74488749275984245</v>
      </c>
      <c r="AK18" s="33">
        <f t="shared" si="23"/>
        <v>-0.79195779879778738</v>
      </c>
      <c r="AL18" s="33">
        <f t="shared" ca="1" si="24"/>
        <v>-0.3026556392611765</v>
      </c>
      <c r="AM18" s="35">
        <f t="shared" ca="1" si="25"/>
        <v>64687.050086732132</v>
      </c>
      <c r="AN18" s="35">
        <f t="shared" ca="1" si="18"/>
        <v>1610297.6008559868</v>
      </c>
      <c r="AO18" s="31">
        <f t="shared" ca="1" si="19"/>
        <v>24.893662621759788</v>
      </c>
      <c r="AP18" s="9">
        <v>50</v>
      </c>
      <c r="AQ18" s="11">
        <f t="shared" ca="1" si="26"/>
        <v>1.3812173766969435E-2</v>
      </c>
      <c r="BB18">
        <v>50</v>
      </c>
      <c r="BC18">
        <v>-0.57697359519941038</v>
      </c>
      <c r="BD18">
        <v>-0.53576426891307305</v>
      </c>
    </row>
    <row r="19" spans="1:56" ht="15.75" x14ac:dyDescent="0.25">
      <c r="A19" s="9" t="s">
        <v>35</v>
      </c>
      <c r="B19" s="9">
        <v>55</v>
      </c>
      <c r="C19" s="61">
        <v>653030</v>
      </c>
      <c r="D19" s="61">
        <v>849485.89391343389</v>
      </c>
      <c r="E19" s="61">
        <v>64317.679452054792</v>
      </c>
      <c r="F19" s="61">
        <v>1913.5901192499091</v>
      </c>
      <c r="G19" s="18">
        <f t="shared" si="0"/>
        <v>2678937</v>
      </c>
      <c r="H19" s="18">
        <f t="shared" si="0"/>
        <v>3094439.4798996197</v>
      </c>
      <c r="I19" s="18">
        <f t="shared" si="1"/>
        <v>538494.89315068501</v>
      </c>
      <c r="J19" s="18">
        <f t="shared" si="2"/>
        <v>8770.2627646902583</v>
      </c>
      <c r="K19" s="18">
        <f t="shared" si="3"/>
        <v>15397936.856645718</v>
      </c>
      <c r="L19" s="18">
        <f t="shared" si="9"/>
        <v>918792.16083657055</v>
      </c>
      <c r="M19" s="19">
        <f t="shared" si="10"/>
        <v>5.9669822612632789E-2</v>
      </c>
      <c r="N19" s="19">
        <f t="shared" si="20"/>
        <v>2.6414721720292328E-2</v>
      </c>
      <c r="O19" s="19">
        <f t="shared" si="11"/>
        <v>3.497188604967371E-2</v>
      </c>
      <c r="P19" s="19">
        <f t="shared" si="27"/>
        <v>3.3255100892340461E-2</v>
      </c>
      <c r="Q19" s="11">
        <f t="shared" ca="1" si="13"/>
        <v>3.597451209267867E-2</v>
      </c>
      <c r="R19" s="11">
        <f ca="1">P19-Q19</f>
        <v>-2.7194112003382093E-3</v>
      </c>
      <c r="Z19" s="26">
        <f t="shared" ca="1" si="4"/>
        <v>663851.90373093716</v>
      </c>
      <c r="AA19" s="26">
        <f t="shared" ca="1" si="5"/>
        <v>849485.89391343389</v>
      </c>
      <c r="AB19" s="26">
        <f t="shared" ca="1" si="6"/>
        <v>71813.835815718281</v>
      </c>
      <c r="AC19" s="26">
        <f t="shared" ca="1" si="7"/>
        <v>4016094.9846810289</v>
      </c>
      <c r="AD19" s="9">
        <f t="shared" ca="1" si="8"/>
        <v>1.788150830337544E-2</v>
      </c>
      <c r="AE19" s="9">
        <v>55</v>
      </c>
      <c r="AF19" s="9">
        <f t="shared" ca="1" si="15"/>
        <v>8.5581716099262017E-2</v>
      </c>
      <c r="AG19" s="9">
        <f t="shared" ca="1" si="21"/>
        <v>0.59829362070398762</v>
      </c>
      <c r="AH19" s="33">
        <f t="shared" ca="1" si="22"/>
        <v>-0.19918010799153893</v>
      </c>
      <c r="AI19" s="33">
        <f t="shared" si="16"/>
        <v>-0.43738327741402477</v>
      </c>
      <c r="AJ19" s="34">
        <f t="shared" si="17"/>
        <v>0.70573655002960223</v>
      </c>
      <c r="AK19" s="33">
        <f t="shared" si="23"/>
        <v>-0.65092637231151285</v>
      </c>
      <c r="AL19" s="33">
        <f t="shared" ca="1" si="24"/>
        <v>-0.21042821278460472</v>
      </c>
      <c r="AM19" s="35">
        <f t="shared" ca="1" si="25"/>
        <v>60368.816680801741</v>
      </c>
      <c r="AN19" s="35">
        <f t="shared" ca="1" si="18"/>
        <v>1297657.9339371521</v>
      </c>
      <c r="AO19" s="31">
        <f t="shared" ca="1" si="19"/>
        <v>21.495500579355042</v>
      </c>
      <c r="AP19" s="9">
        <v>55</v>
      </c>
      <c r="AQ19" s="11">
        <f t="shared" ca="1" si="26"/>
        <v>1.7249278190637575E-2</v>
      </c>
      <c r="BB19">
        <v>55</v>
      </c>
      <c r="BC19">
        <v>-0.45547403514920326</v>
      </c>
      <c r="BD19">
        <v>-0.43738327741402477</v>
      </c>
    </row>
    <row r="20" spans="1:56" ht="15.75" x14ac:dyDescent="0.25">
      <c r="A20" s="9" t="s">
        <v>36</v>
      </c>
      <c r="B20" s="9">
        <v>60</v>
      </c>
      <c r="C20" s="61">
        <v>620861</v>
      </c>
      <c r="D20" s="61">
        <v>647158.57880766876</v>
      </c>
      <c r="E20" s="61">
        <v>70332.495890410966</v>
      </c>
      <c r="F20" s="61">
        <v>2690.1736715116294</v>
      </c>
      <c r="G20" s="18">
        <f t="shared" si="0"/>
        <v>2025907</v>
      </c>
      <c r="H20" s="18">
        <f t="shared" si="0"/>
        <v>2244953.5859861858</v>
      </c>
      <c r="I20" s="18">
        <f>I21+E20</f>
        <v>474177.21369863016</v>
      </c>
      <c r="J20" s="18">
        <f>J21+F20</f>
        <v>6856.6726454403488</v>
      </c>
      <c r="K20" s="18">
        <f t="shared" si="3"/>
        <v>11405221.476303952</v>
      </c>
      <c r="L20" s="18">
        <f t="shared" si="9"/>
        <v>695331.98296802479</v>
      </c>
      <c r="M20" s="19">
        <f t="shared" si="10"/>
        <v>6.0966109637825151E-2</v>
      </c>
      <c r="N20" s="19">
        <f t="shared" si="20"/>
        <v>1.8604628922077635E-2</v>
      </c>
      <c r="O20" s="19">
        <f t="shared" si="11"/>
        <v>4.1575449865993749E-2</v>
      </c>
      <c r="P20" s="19">
        <f>IF(L$3&gt;60,M20-N20,NA())</f>
        <v>4.2361480715747517E-2</v>
      </c>
      <c r="Q20" s="11">
        <f t="shared" ca="1" si="13"/>
        <v>4.33477141693695E-2</v>
      </c>
      <c r="R20" s="11">
        <f ca="1">IF(L$3&gt;60,P20-Q20,NA())</f>
        <v>-9.8623345362198328E-4</v>
      </c>
      <c r="Z20" s="26">
        <f t="shared" ca="1" si="4"/>
        <v>631149.8044535371</v>
      </c>
      <c r="AA20" s="26">
        <f t="shared" ca="1" si="5"/>
        <v>647158.57880766876</v>
      </c>
      <c r="AB20" s="26">
        <f t="shared" ca="1" si="6"/>
        <v>78529.672640767079</v>
      </c>
      <c r="AC20" s="26">
        <f t="shared" ca="1" si="7"/>
        <v>3417919.8139139176</v>
      </c>
      <c r="AD20" s="9">
        <f t="shared" ca="1" si="8"/>
        <v>2.2975867462157174E-2</v>
      </c>
      <c r="AE20" s="9">
        <v>60</v>
      </c>
      <c r="AF20" s="9">
        <f t="shared" ca="1" si="15"/>
        <v>0.10863914104609186</v>
      </c>
      <c r="AG20" s="9">
        <f t="shared" ca="1" si="21"/>
        <v>0.54709062591289936</v>
      </c>
      <c r="AH20" s="33">
        <f t="shared" ca="1" si="22"/>
        <v>-9.4461209259283987E-2</v>
      </c>
      <c r="AI20" s="33">
        <f t="shared" si="16"/>
        <v>-0.31887883053311089</v>
      </c>
      <c r="AJ20" s="34">
        <f t="shared" si="17"/>
        <v>0.6542464010842225</v>
      </c>
      <c r="AK20" s="33">
        <f t="shared" si="23"/>
        <v>-0.49424561158916708</v>
      </c>
      <c r="AL20" s="33">
        <f t="shared" ca="1" si="24"/>
        <v>-0.10796691249264595</v>
      </c>
      <c r="AM20" s="35">
        <f t="shared" ca="1" si="25"/>
        <v>55377.467061301708</v>
      </c>
      <c r="AN20" s="35">
        <f t="shared" ca="1" si="18"/>
        <v>1008292.2245818935</v>
      </c>
      <c r="AO20" s="31">
        <f t="shared" ca="1" si="19"/>
        <v>18.207626279940449</v>
      </c>
      <c r="AP20" s="9">
        <v>60</v>
      </c>
      <c r="AQ20" s="11">
        <f t="shared" ca="1" si="26"/>
        <v>2.331974602170923E-2</v>
      </c>
      <c r="BB20">
        <v>60</v>
      </c>
      <c r="BC20">
        <v>-0.30721054718723395</v>
      </c>
      <c r="BD20">
        <v>-0.31887883053311089</v>
      </c>
    </row>
    <row r="21" spans="1:56" ht="15.75" x14ac:dyDescent="0.25">
      <c r="A21" s="63" t="str">
        <f>IF(E21="","", IF(E22="","65+", "65-69"))</f>
        <v>65-69</v>
      </c>
      <c r="B21" s="9">
        <f>IF(E22="","",65)</f>
        <v>65</v>
      </c>
      <c r="C21" s="61">
        <v>483263</v>
      </c>
      <c r="D21" s="61">
        <v>553050.20290078165</v>
      </c>
      <c r="E21" s="61">
        <v>76772.780821917797</v>
      </c>
      <c r="F21" s="61">
        <v>1792.5564735773346</v>
      </c>
      <c r="G21" s="18">
        <f t="shared" ref="G21:G23" si="28">IF(E21="",,G22+C21)</f>
        <v>1405046</v>
      </c>
      <c r="H21" s="18">
        <f>IF(E21="",,H22+D21)</f>
        <v>1597795.0071785171</v>
      </c>
      <c r="I21" s="18">
        <f>IF(E21="",,I22+E21)</f>
        <v>403844.7178082192</v>
      </c>
      <c r="J21" s="18">
        <f t="shared" ref="J21:J24" si="29">IF(325="",,J22+F21)</f>
        <v>4166.4989739287194</v>
      </c>
      <c r="K21" s="18">
        <f t="shared" si="3"/>
        <v>8013017.4546300843</v>
      </c>
      <c r="L21" s="18">
        <f>IF(E22="","",G$3*(C20*D21)^0.5/5)</f>
        <v>626757.80530520598</v>
      </c>
      <c r="M21" s="19">
        <f>IF(L21="",NA(),L21/K21)</f>
        <v>7.8217451647138572E-2</v>
      </c>
      <c r="N21" s="19">
        <f t="shared" si="20"/>
        <v>2.353451858458408E-2</v>
      </c>
      <c r="O21" s="19">
        <f t="shared" si="11"/>
        <v>5.039858206908928E-2</v>
      </c>
      <c r="P21" s="19">
        <f>IF(L$3&gt;B21,M21-N21,NA())</f>
        <v>5.4682933062554492E-2</v>
      </c>
      <c r="Q21" s="11">
        <f t="shared" ca="1" si="13"/>
        <v>5.3199172941071758E-2</v>
      </c>
      <c r="R21" s="11">
        <f ca="1">IF(L$3&gt;65,P21-Q21,NA())</f>
        <v>1.4837601214827342E-3</v>
      </c>
      <c r="Z21" s="26">
        <f t="shared" ca="1" si="4"/>
        <v>491271.55345500796</v>
      </c>
      <c r="AA21" s="26">
        <f t="shared" ca="1" si="5"/>
        <v>553050.20290078165</v>
      </c>
      <c r="AB21" s="26">
        <f t="shared" ca="1" si="6"/>
        <v>85720.565854233282</v>
      </c>
      <c r="AC21" s="26">
        <f t="shared" ca="1" si="7"/>
        <v>2787618.7320172731</v>
      </c>
      <c r="AD21" s="9">
        <f t="shared" ca="1" si="8"/>
        <v>3.0750462704848162E-2</v>
      </c>
      <c r="AE21" s="9">
        <v>65</v>
      </c>
      <c r="AF21" s="9">
        <f t="shared" ca="1" si="15"/>
        <v>0.14277622599290624</v>
      </c>
      <c r="AG21" s="9">
        <f t="shared" ca="1" si="21"/>
        <v>0.48765517023935323</v>
      </c>
      <c r="AH21" s="33">
        <f t="shared" ca="1" si="22"/>
        <v>2.4694678125315062E-2</v>
      </c>
      <c r="AI21" s="33">
        <f t="shared" si="16"/>
        <v>-0.16650001943984566</v>
      </c>
      <c r="AJ21" s="34">
        <f t="shared" si="17"/>
        <v>0.58248915296696968</v>
      </c>
      <c r="AK21" s="33">
        <f t="shared" si="23"/>
        <v>-0.30700873428456527</v>
      </c>
      <c r="AL21" s="33">
        <f t="shared" ca="1" si="24"/>
        <v>1.4476544015919246E-2</v>
      </c>
      <c r="AM21" s="35">
        <f t="shared" ca="1" si="25"/>
        <v>49276.223359199998</v>
      </c>
      <c r="AN21" s="35">
        <f t="shared" ca="1" si="18"/>
        <v>746657.99853063922</v>
      </c>
      <c r="AO21" s="31">
        <f t="shared" ca="1" si="19"/>
        <v>15.152500488681145</v>
      </c>
      <c r="AP21" s="9">
        <v>65</v>
      </c>
      <c r="AQ21" s="11">
        <f t="shared" ca="1" si="26"/>
        <v>3.1423231948738965E-2</v>
      </c>
      <c r="BB21">
        <v>65</v>
      </c>
      <c r="BC21">
        <v>-0.12616491115079378</v>
      </c>
      <c r="BD21">
        <v>-0.16650001943984566</v>
      </c>
    </row>
    <row r="22" spans="1:56" ht="15.75" x14ac:dyDescent="0.25">
      <c r="A22" s="63" t="str">
        <f>IF(E22="","", IF(E23="","70+", "70-74"))</f>
        <v>70-74</v>
      </c>
      <c r="B22" s="9">
        <f>IF(E23="","",70)</f>
        <v>70</v>
      </c>
      <c r="C22" s="61">
        <v>399032</v>
      </c>
      <c r="D22" s="61">
        <v>413776.35931542347</v>
      </c>
      <c r="E22" s="61">
        <v>83286.410958904104</v>
      </c>
      <c r="F22" s="61">
        <v>1188.3525124565606</v>
      </c>
      <c r="G22" s="18">
        <f t="shared" si="28"/>
        <v>921783</v>
      </c>
      <c r="H22" s="18">
        <f t="shared" ref="H22:H25" si="30">IF(E22="",,H23+D22)</f>
        <v>1044744.8042777355</v>
      </c>
      <c r="I22" s="18">
        <f>IF(E22="",,I23+E22)</f>
        <v>327071.93698630139</v>
      </c>
      <c r="J22" s="18">
        <f t="shared" si="29"/>
        <v>2373.9425003513852</v>
      </c>
      <c r="K22" s="18">
        <f t="shared" si="3"/>
        <v>5248192.3592146561</v>
      </c>
      <c r="L22" s="18">
        <f>IF(E23="","",G$3*(C21*D22)^0.5/5)</f>
        <v>478293.95602511195</v>
      </c>
      <c r="M22" s="19">
        <f t="shared" ref="M22:M24" si="31">IF(L22="",NA(),L22/K22)</f>
        <v>9.113498959033664E-2</v>
      </c>
      <c r="N22" s="19">
        <f t="shared" si="20"/>
        <v>2.2977027807614316E-2</v>
      </c>
      <c r="O22" s="19">
        <f t="shared" si="11"/>
        <v>6.2320874426798775E-2</v>
      </c>
      <c r="P22" s="19">
        <f>IF(L$3&gt;B22,M22-N22,NA())</f>
        <v>6.8157961782722321E-2</v>
      </c>
      <c r="Q22" s="11">
        <f t="shared" ca="1" si="13"/>
        <v>6.6510995650126123E-2</v>
      </c>
      <c r="R22" s="11">
        <f ca="1">IF(L$3&gt;70,P22-Q22,NA())</f>
        <v>1.6469661325961976E-3</v>
      </c>
      <c r="Z22" s="26">
        <f t="shared" ca="1" si="4"/>
        <v>405644.69143770315</v>
      </c>
      <c r="AA22" s="26">
        <f t="shared" ca="1" si="5"/>
        <v>413776.35931542347</v>
      </c>
      <c r="AB22" s="26">
        <f t="shared" ca="1" si="6"/>
        <v>92993.352577991638</v>
      </c>
      <c r="AC22" s="26">
        <f t="shared" ca="1" si="7"/>
        <v>2191018.3907118407</v>
      </c>
      <c r="AD22" s="9">
        <f t="shared" ca="1" si="8"/>
        <v>4.2442981296829281E-2</v>
      </c>
      <c r="AE22" s="9">
        <v>70</v>
      </c>
      <c r="AF22" s="9">
        <f t="shared" ca="1" si="15"/>
        <v>0.1918574057720438</v>
      </c>
      <c r="AG22" s="9">
        <f t="shared" ca="1" si="21"/>
        <v>0.41802960544665019</v>
      </c>
      <c r="AH22" s="33">
        <f t="shared" ca="1" si="22"/>
        <v>0.16543366076424143</v>
      </c>
      <c r="AI22" s="33">
        <f t="shared" si="16"/>
        <v>2.5779919447470521E-2</v>
      </c>
      <c r="AJ22" s="34">
        <f t="shared" si="17"/>
        <v>0.48711289509132905</v>
      </c>
      <c r="AK22" s="33">
        <f t="shared" si="23"/>
        <v>-8.5434206256291181E-2</v>
      </c>
      <c r="AL22" s="33">
        <f t="shared" ca="1" si="24"/>
        <v>0.15937508898523889</v>
      </c>
      <c r="AM22" s="35">
        <f t="shared" ca="1" si="25"/>
        <v>42098.036921813189</v>
      </c>
      <c r="AN22" s="35">
        <f t="shared" ca="1" si="18"/>
        <v>518222.34782810626</v>
      </c>
      <c r="AO22" s="31">
        <f t="shared" ca="1" si="19"/>
        <v>12.309893423072852</v>
      </c>
      <c r="AP22" s="9">
        <v>70</v>
      </c>
      <c r="AQ22" s="11">
        <f t="shared" ca="1" si="26"/>
        <v>4.4575369888019467E-2</v>
      </c>
      <c r="BB22">
        <v>70</v>
      </c>
      <c r="BC22">
        <v>9.2715942806694804E-2</v>
      </c>
      <c r="BD22">
        <v>2.5779919447470521E-2</v>
      </c>
    </row>
    <row r="23" spans="1:56" ht="15.75" x14ac:dyDescent="0.25">
      <c r="A23" s="63" t="str">
        <f>IF(E23="","", IF(E24="","75+", "75-79"))</f>
        <v>75-79</v>
      </c>
      <c r="B23" s="9">
        <f>IF(E24="","",75)</f>
        <v>75</v>
      </c>
      <c r="C23" s="61">
        <v>231155</v>
      </c>
      <c r="D23" s="61">
        <v>304906.3815560232</v>
      </c>
      <c r="E23" s="61">
        <v>78748.005479452055</v>
      </c>
      <c r="F23" s="61">
        <v>613.59772266657319</v>
      </c>
      <c r="G23" s="18">
        <f t="shared" si="28"/>
        <v>522751</v>
      </c>
      <c r="H23" s="18">
        <f t="shared" si="30"/>
        <v>630968.444962312</v>
      </c>
      <c r="I23" s="18">
        <f>IF(E23="",,I24+E23)</f>
        <v>243785.52602739728</v>
      </c>
      <c r="J23" s="18">
        <f t="shared" si="29"/>
        <v>1185.5899878948246</v>
      </c>
      <c r="K23" s="18">
        <f t="shared" si="3"/>
        <v>3071436.520149326</v>
      </c>
      <c r="L23" s="18">
        <f>IF(E24="","",G$3*(C22*D23)^0.5/5)</f>
        <v>373084.66853085381</v>
      </c>
      <c r="M23" s="19">
        <f t="shared" si="31"/>
        <v>0.12146911260686427</v>
      </c>
      <c r="N23" s="19">
        <f t="shared" si="20"/>
        <v>3.4847490505587116E-2</v>
      </c>
      <c r="O23" s="19">
        <f t="shared" si="11"/>
        <v>7.9371826319088304E-2</v>
      </c>
      <c r="P23" s="19">
        <f>IF(L$3&gt;B23,M23-N23,NA())</f>
        <v>8.6621622101277163E-2</v>
      </c>
      <c r="Q23" s="11">
        <f t="shared" ca="1" si="13"/>
        <v>8.5549217646418499E-2</v>
      </c>
      <c r="R23" s="11">
        <f ca="1">IF(L$3&gt;75,P23-Q23,NA())</f>
        <v>1.0724044548586636E-3</v>
      </c>
      <c r="Z23" s="26">
        <f t="shared" ca="1" si="4"/>
        <v>234985.66192506434</v>
      </c>
      <c r="AA23" s="26">
        <f t="shared" ca="1" si="5"/>
        <v>304906.3815560232</v>
      </c>
      <c r="AB23" s="26">
        <f t="shared" ca="1" si="6"/>
        <v>87926.000821162772</v>
      </c>
      <c r="AC23" s="26">
        <f t="shared" ca="1" si="7"/>
        <v>1431509.473229263</v>
      </c>
      <c r="AD23" s="9">
        <f ca="1">AB23/AC23</f>
        <v>6.1421878419578579E-2</v>
      </c>
      <c r="AE23" s="9">
        <v>75</v>
      </c>
      <c r="AF23" s="9">
        <f t="shared" ca="1" si="15"/>
        <v>0.26622872166337397</v>
      </c>
      <c r="AG23" s="9">
        <f t="shared" ca="1" si="21"/>
        <v>0.33782752980974484</v>
      </c>
      <c r="AH23" s="33">
        <f t="shared" ca="1" si="22"/>
        <v>0.33649527628800302</v>
      </c>
      <c r="AI23" s="33">
        <f t="shared" si="16"/>
        <v>0.27751742466194446</v>
      </c>
      <c r="AJ23" s="34">
        <f t="shared" si="17"/>
        <v>0.36469707629058018</v>
      </c>
      <c r="AK23" s="33">
        <f t="shared" si="23"/>
        <v>0.18974509075837159</v>
      </c>
      <c r="AL23" s="33">
        <f t="shared" ca="1" si="24"/>
        <v>0.33932844417422914</v>
      </c>
      <c r="AM23" s="35">
        <f t="shared" ca="1" si="25"/>
        <v>33656.113709458943</v>
      </c>
      <c r="AN23" s="35">
        <f t="shared" ca="1" si="18"/>
        <v>328836.9712499259</v>
      </c>
      <c r="AO23" s="31">
        <f t="shared" ca="1" si="19"/>
        <v>9.7704973927963437</v>
      </c>
      <c r="AP23" s="9">
        <v>75</v>
      </c>
      <c r="AQ23" s="11">
        <f t="shared" ca="1" si="26"/>
        <v>6.4099879602102783E-2</v>
      </c>
      <c r="BB23">
        <v>75</v>
      </c>
      <c r="BC23">
        <v>0.36487226371847842</v>
      </c>
      <c r="BD23">
        <v>0.27751742466194446</v>
      </c>
    </row>
    <row r="24" spans="1:56" ht="15.75" x14ac:dyDescent="0.25">
      <c r="A24" s="63" t="str">
        <f>IF(E24="","", IF(E25="","80+", "80-84"))</f>
        <v>80-84</v>
      </c>
      <c r="B24" s="9">
        <f>IF(E25="","",80)</f>
        <v>80</v>
      </c>
      <c r="C24" s="61">
        <v>180151</v>
      </c>
      <c r="D24" s="61">
        <v>169637.17457712468</v>
      </c>
      <c r="E24" s="61">
        <v>68734.131506849313</v>
      </c>
      <c r="F24" s="61">
        <v>503.30632705769051</v>
      </c>
      <c r="G24" s="18">
        <f>IF(E24="",,G25+C24)</f>
        <v>291596</v>
      </c>
      <c r="H24" s="18">
        <f t="shared" si="30"/>
        <v>326062.06340628874</v>
      </c>
      <c r="I24" s="18">
        <f>IF(E24="",,I25+E24)</f>
        <v>165037.52054794523</v>
      </c>
      <c r="J24" s="18">
        <f t="shared" si="29"/>
        <v>571.99226522825143</v>
      </c>
      <c r="K24" s="18">
        <f t="shared" si="3"/>
        <v>1649040.0553107664</v>
      </c>
      <c r="L24" s="18">
        <f>IF(E25="","",G$3*(C23*D24)^0.5/5)</f>
        <v>211803.16436720389</v>
      </c>
      <c r="M24" s="19">
        <f t="shared" si="31"/>
        <v>0.12844027874586039</v>
      </c>
      <c r="N24" s="19">
        <f t="shared" si="20"/>
        <v>2.0553819194326996E-2</v>
      </c>
      <c r="O24" s="19">
        <f>IF(L24="",NA(),I24/K24)</f>
        <v>0.10008096529640902</v>
      </c>
      <c r="P24" s="19">
        <f>IF(L$3&gt;B24,M24-N24,NA())</f>
        <v>0.10788645955153339</v>
      </c>
      <c r="Q24" s="11">
        <f t="shared" ca="1" si="13"/>
        <v>0.10867198449796245</v>
      </c>
      <c r="R24" s="11">
        <f ca="1">IF(L$3&gt;80,P24-Q24,NA())</f>
        <v>-7.855249464290559E-4</v>
      </c>
      <c r="Z24" s="26">
        <f t="shared" ca="1" si="4"/>
        <v>183136.43218386912</v>
      </c>
      <c r="AA24" s="26">
        <f t="shared" ca="1" si="5"/>
        <v>169637.17457712468</v>
      </c>
      <c r="AB24" s="26">
        <f t="shared" ca="1" si="6"/>
        <v>76745.020607412021</v>
      </c>
      <c r="AC24" s="26">
        <f t="shared" ca="1" si="7"/>
        <v>942623.31439894391</v>
      </c>
      <c r="AD24" s="9">
        <f ca="1">AB24/AC24</f>
        <v>8.141642524124057E-2</v>
      </c>
      <c r="AE24" s="9">
        <v>80</v>
      </c>
      <c r="AF24" s="9">
        <f t="shared" ca="1" si="15"/>
        <v>0.33823700635242071</v>
      </c>
      <c r="AG24" s="9">
        <f t="shared" ca="1" si="21"/>
        <v>0.24788813840580112</v>
      </c>
      <c r="AH24" s="33">
        <f t="shared" ca="1" si="22"/>
        <v>0.55495373770672207</v>
      </c>
      <c r="AI24" s="33">
        <f t="shared" si="16"/>
        <v>0.60831357890253046</v>
      </c>
      <c r="AJ24" s="34">
        <f t="shared" si="17"/>
        <v>0.22853055275046472</v>
      </c>
      <c r="AK24" s="33">
        <f t="shared" si="23"/>
        <v>0.5371957888255825</v>
      </c>
      <c r="AL24" s="33">
        <f t="shared" ca="1" si="24"/>
        <v>0.56654364371236809</v>
      </c>
      <c r="AM24" s="35">
        <f t="shared" ca="1" si="25"/>
        <v>24359.180305810525</v>
      </c>
      <c r="AN24" s="35">
        <f t="shared" ca="1" si="18"/>
        <v>183798.7362117522</v>
      </c>
      <c r="AO24" s="31">
        <f t="shared" ca="1" si="19"/>
        <v>7.5453580089437455</v>
      </c>
      <c r="AP24" s="9">
        <v>80</v>
      </c>
      <c r="AQ24" s="11">
        <f t="shared" ca="1" si="26"/>
        <v>9.429892068482866E-2</v>
      </c>
      <c r="BB24">
        <v>80</v>
      </c>
      <c r="BC24">
        <v>0.71572040462564579</v>
      </c>
      <c r="BD24">
        <v>0.60831357890253046</v>
      </c>
    </row>
    <row r="25" spans="1:56" ht="15.75" x14ac:dyDescent="0.25">
      <c r="A25" s="63" t="str">
        <f>IF(E25="","","85+")</f>
        <v>85+</v>
      </c>
      <c r="B25" s="9"/>
      <c r="C25" s="61">
        <v>111445</v>
      </c>
      <c r="D25" s="61">
        <v>156424.88882916409</v>
      </c>
      <c r="E25" s="61">
        <v>96303.389041095899</v>
      </c>
      <c r="F25" s="61">
        <v>68.685938170560917</v>
      </c>
      <c r="G25" s="18">
        <f>IF(E25="",,G26+C25)</f>
        <v>111445</v>
      </c>
      <c r="H25" s="18">
        <f t="shared" si="30"/>
        <v>156424.88882916409</v>
      </c>
      <c r="I25" s="18">
        <f>IF(E25="",,I26+E25)</f>
        <v>96303.389041095899</v>
      </c>
      <c r="J25" s="18">
        <f>IF(325="",,J26+F25)</f>
        <v>68.685938170560917</v>
      </c>
      <c r="K25" s="18">
        <f t="shared" si="3"/>
        <v>706111.86513979489</v>
      </c>
      <c r="L25" s="18"/>
      <c r="M25" s="18"/>
      <c r="N25" s="19"/>
      <c r="O25" s="9"/>
      <c r="P25" s="9"/>
      <c r="Q25" s="9"/>
      <c r="R25" s="9"/>
      <c r="Z25" s="26">
        <f t="shared" ca="1" si="4"/>
        <v>113291.84786502042</v>
      </c>
      <c r="AA25" s="26">
        <f t="shared" ca="1" si="5"/>
        <v>156424.88882916409</v>
      </c>
      <c r="AB25" s="26">
        <f t="shared" ca="1" si="6"/>
        <v>107527.44545533441</v>
      </c>
      <c r="AC25" s="26">
        <f t="shared" ca="1" si="7"/>
        <v>711938.60813081462</v>
      </c>
      <c r="AD25" s="9">
        <f t="shared" ca="1" si="8"/>
        <v>0.15103471595345319</v>
      </c>
      <c r="AE25" s="9">
        <v>85</v>
      </c>
      <c r="AF25" s="9">
        <f t="shared" ca="1" si="15"/>
        <v>0.54818584593937403</v>
      </c>
      <c r="AG25" s="9">
        <f t="shared" ca="1" si="21"/>
        <v>0.16404319656114844</v>
      </c>
      <c r="AH25" s="33">
        <f t="shared" ca="1" si="22"/>
        <v>0.81422357720716421</v>
      </c>
      <c r="AI25" s="33">
        <f t="shared" si="16"/>
        <v>1.0541293435076513</v>
      </c>
      <c r="AJ25" s="34">
        <f t="shared" si="17"/>
        <v>0.10829670813940831</v>
      </c>
      <c r="AK25" s="33">
        <f t="shared" si="23"/>
        <v>0.99321153494199366</v>
      </c>
      <c r="AL25" s="33">
        <f t="shared" ca="1" si="24"/>
        <v>0.86475489878467959</v>
      </c>
      <c r="AM25" s="35">
        <f t="shared" ca="1" si="25"/>
        <v>15065.029275002622</v>
      </c>
      <c r="AN25" s="35">
        <f t="shared" ca="1" si="18"/>
        <v>85238.212259719323</v>
      </c>
      <c r="AO25" s="31">
        <f t="shared" ca="1" si="19"/>
        <v>5.6580183618464615</v>
      </c>
      <c r="AP25" s="9">
        <v>85</v>
      </c>
      <c r="AQ25" s="11">
        <f t="shared" ca="1" si="26"/>
        <v>0.14342934346395458</v>
      </c>
      <c r="BB25">
        <v>85</v>
      </c>
      <c r="BC25">
        <v>1.1852190784650467</v>
      </c>
      <c r="BD25">
        <v>1.0541293435076513</v>
      </c>
    </row>
    <row r="26" spans="1:56" ht="15.75" x14ac:dyDescent="0.25">
      <c r="A26" s="17"/>
      <c r="B26" s="9"/>
      <c r="C26" s="20"/>
      <c r="D26" s="20"/>
      <c r="E26" s="20"/>
      <c r="F26" s="20"/>
      <c r="G26" s="9"/>
      <c r="H26" s="9"/>
      <c r="I26" s="9"/>
      <c r="J26" s="9"/>
      <c r="K26" s="9"/>
      <c r="L26" s="9"/>
      <c r="M26" s="9"/>
      <c r="N26" s="9"/>
      <c r="O26" s="9"/>
      <c r="P26" s="9"/>
      <c r="Q26" s="9"/>
      <c r="R26" s="9"/>
      <c r="Z26" s="26"/>
      <c r="AA26" s="26"/>
      <c r="AB26" s="26"/>
      <c r="AC26" s="9"/>
      <c r="AD26" s="9"/>
      <c r="AE26" s="9"/>
      <c r="AF26" s="9"/>
      <c r="AG26" s="9">
        <f t="shared" ca="1" si="21"/>
        <v>7.411703808367627E-2</v>
      </c>
      <c r="AH26" s="33">
        <f t="shared" ca="1" si="22"/>
        <v>1.2625511980574355</v>
      </c>
      <c r="AI26" s="33"/>
      <c r="AJ26" s="34">
        <f>AJ25*EXP((LN(AJ25/AJ24))^2/LN(AJ24/AJ23))</f>
        <v>3.284057207856389E-2</v>
      </c>
      <c r="AK26" s="33">
        <f t="shared" si="23"/>
        <v>1.6354604921829832</v>
      </c>
      <c r="AL26" s="33">
        <f t="shared" ca="1" si="24"/>
        <v>1.2847532633999801</v>
      </c>
      <c r="AM26" s="35">
        <f t="shared" ca="1" si="25"/>
        <v>7112.6899905406881</v>
      </c>
      <c r="AN26" s="35">
        <f ca="1">AN27+2.5*(AM27+AM26)</f>
        <v>29793.914095861044</v>
      </c>
      <c r="AO26" s="31">
        <f t="shared" ca="1" si="19"/>
        <v>4.1888391221161871</v>
      </c>
      <c r="AP26" s="9">
        <v>90</v>
      </c>
    </row>
    <row r="27" spans="1:56" ht="15.75" x14ac:dyDescent="0.25">
      <c r="A27" s="17" t="s">
        <v>37</v>
      </c>
      <c r="B27" s="9"/>
      <c r="C27" s="20">
        <f>SUM(C8:C25)</f>
        <v>23385731</v>
      </c>
      <c r="D27" s="20">
        <f>SUM(D8:D25)</f>
        <v>25003493.479899619</v>
      </c>
      <c r="E27" s="20">
        <f>SUM(E8:E25)</f>
        <v>1508748.2493150684</v>
      </c>
      <c r="F27" s="20">
        <f>SUM(F8:F25)</f>
        <v>-34095.045669071478</v>
      </c>
      <c r="G27" s="18"/>
      <c r="H27" s="18"/>
      <c r="I27" s="18"/>
      <c r="J27" s="18"/>
      <c r="K27" s="18"/>
      <c r="L27" s="18"/>
      <c r="M27" s="18"/>
      <c r="N27" s="18"/>
      <c r="O27" s="9"/>
      <c r="P27" s="9" t="s">
        <v>43</v>
      </c>
      <c r="Q27" s="9">
        <f ca="1">AVERAGE(INDIRECT(ADDRESS(ROW(P8)+L2/5,P7)):INDIRECT(ADDRESS(ROW(P8)+L3/5,P7)))-AVERAGE(INDIRECT(ADDRESS(ROW(O8)+L2/5,O7)):INDIRECT(ADDRESS(ROW(O8)+L3/5,O7)))/Q32</f>
        <v>-3.0733096622935774E-3</v>
      </c>
      <c r="R27" s="9"/>
      <c r="Z27" s="26">
        <f ca="1">SUM(Z8:Z25)</f>
        <v>23773275.415355477</v>
      </c>
      <c r="AA27" s="26">
        <f ca="1">SUM(AA8:AA25)</f>
        <v>25003493.479899619</v>
      </c>
      <c r="AB27" s="26">
        <f ca="1">SUM(AB8:AB25)</f>
        <v>1684591.2350480992</v>
      </c>
      <c r="AC27" s="9"/>
      <c r="AD27" s="9"/>
      <c r="AE27" s="9"/>
      <c r="AF27" s="9"/>
      <c r="AG27" s="9"/>
      <c r="AH27" s="9"/>
      <c r="AI27" s="33"/>
      <c r="AJ27" s="34">
        <f t="shared" ref="AJ27:AJ28" si="32">AJ26*EXP((LN(AJ26/AJ25))^2/LN(AJ25/AJ24))</f>
        <v>4.8801913403870006E-3</v>
      </c>
      <c r="AK27" s="33">
        <f t="shared" ref="AK27" si="33">0.5*LN((AJ$9-AJ27)/AJ27)</f>
        <v>2.6046092354050616</v>
      </c>
      <c r="AL27" s="33">
        <f t="shared" ref="AL27" ca="1" si="34">AL$3+AL$4*AK27</f>
        <v>1.9185275695052584</v>
      </c>
      <c r="AM27" s="35">
        <f t="shared" ref="AM27" ca="1" si="35">100000*(1/(1+EXP(2*AL27)))</f>
        <v>2110.2092695621841</v>
      </c>
      <c r="AN27" s="35">
        <f ca="1">AN28+2.5*(AM28+AM27)</f>
        <v>6736.6659456038597</v>
      </c>
      <c r="AO27" s="9"/>
      <c r="AP27" s="9"/>
    </row>
    <row r="28" spans="1:56" ht="15.75" x14ac:dyDescent="0.25">
      <c r="A28" s="9"/>
      <c r="B28" s="9"/>
      <c r="C28" s="9"/>
      <c r="D28" s="9"/>
      <c r="E28" s="9"/>
      <c r="F28" s="9"/>
      <c r="G28" s="9"/>
      <c r="H28" s="9"/>
      <c r="I28" s="9"/>
      <c r="J28" s="9"/>
      <c r="K28" s="9"/>
      <c r="L28" s="9"/>
      <c r="M28" s="9"/>
      <c r="N28" s="9"/>
      <c r="O28" s="9"/>
      <c r="P28" s="9" t="s">
        <v>38</v>
      </c>
      <c r="Q28" s="9">
        <f ca="1">IF(C5=D5,1,EXP(G3*Q27))</f>
        <v>0.983698316341165</v>
      </c>
      <c r="R28" s="21"/>
      <c r="S28" s="9"/>
      <c r="T28" s="9"/>
      <c r="U28" s="9"/>
      <c r="V28" s="9"/>
      <c r="W28" s="9"/>
      <c r="AJ28" s="34">
        <f t="shared" si="32"/>
        <v>2.3201792870184099E-4</v>
      </c>
      <c r="AK28" s="33">
        <f t="shared" ref="AK28" si="36">0.5*LN((AJ$9-AJ28)/AJ28)</f>
        <v>4.1302680516108534</v>
      </c>
      <c r="AL28" s="33">
        <f t="shared" ref="AL28" ca="1" si="37">AL$3+AL$4*AK28</f>
        <v>2.9162313423848953</v>
      </c>
      <c r="AM28" s="35">
        <f t="shared" ref="AM28" ca="1" si="38">100000*(1/(1+EXP(2*AL28)))</f>
        <v>292.22855433967987</v>
      </c>
      <c r="AN28" s="35">
        <f ca="1">AN31+2.5*(AM31+AM28)</f>
        <v>730.57138584919971</v>
      </c>
    </row>
    <row r="29" spans="1:56" ht="15.75" x14ac:dyDescent="0.25">
      <c r="A29" s="9"/>
      <c r="B29" s="9"/>
      <c r="C29" s="9"/>
      <c r="D29" s="9"/>
      <c r="E29" s="18"/>
      <c r="F29" s="18"/>
      <c r="G29" s="9"/>
      <c r="H29" s="9"/>
      <c r="I29" s="9"/>
      <c r="J29" s="9"/>
      <c r="K29" s="9"/>
      <c r="L29" s="9"/>
      <c r="M29" s="9"/>
      <c r="N29" s="9"/>
      <c r="O29" s="9"/>
      <c r="P29" s="9" t="s">
        <v>39</v>
      </c>
      <c r="Q29" s="9">
        <f ca="1">IF(Q28&gt;1,1,Q28)</f>
        <v>0.983698316341165</v>
      </c>
      <c r="R29" s="9"/>
      <c r="S29" s="22"/>
      <c r="T29" s="9"/>
      <c r="U29" s="9"/>
      <c r="V29" s="9"/>
      <c r="W29" s="9"/>
    </row>
    <row r="30" spans="1:56" ht="15.75" x14ac:dyDescent="0.25">
      <c r="A30" s="9"/>
      <c r="B30" s="9"/>
      <c r="C30" s="18"/>
      <c r="D30" s="18"/>
      <c r="E30" s="18"/>
      <c r="F30" s="18"/>
      <c r="G30" s="9"/>
      <c r="H30" s="9"/>
      <c r="I30" s="9"/>
      <c r="J30" s="9"/>
      <c r="K30" s="9"/>
      <c r="L30" s="9"/>
      <c r="M30" s="9"/>
      <c r="N30" s="9"/>
      <c r="O30" s="22"/>
      <c r="P30" s="9" t="s">
        <v>40</v>
      </c>
      <c r="Q30" s="9">
        <f t="shared" ref="Q30" ca="1" si="39">Q29/Q28</f>
        <v>1</v>
      </c>
      <c r="R30" s="9"/>
      <c r="S30" s="22"/>
      <c r="T30" s="9"/>
      <c r="U30" s="9"/>
      <c r="V30" s="9"/>
      <c r="W30" s="9"/>
    </row>
    <row r="31" spans="1:56" ht="15.75" x14ac:dyDescent="0.25">
      <c r="A31" s="9"/>
      <c r="B31" s="9"/>
      <c r="C31" s="19"/>
      <c r="D31" s="9"/>
      <c r="E31" s="19"/>
      <c r="F31" s="9"/>
      <c r="G31" s="9"/>
      <c r="H31" s="9"/>
      <c r="I31" s="9"/>
      <c r="J31" s="9"/>
      <c r="K31" s="9"/>
      <c r="L31" s="9"/>
      <c r="M31" s="9"/>
      <c r="N31" s="9"/>
      <c r="O31" s="9"/>
      <c r="P31" s="9" t="s">
        <v>41</v>
      </c>
      <c r="Q31" s="9">
        <f t="shared" ref="Q31" ca="1" si="40">Q29*Q30</f>
        <v>0.983698316341165</v>
      </c>
      <c r="R31" s="9"/>
      <c r="S31" s="9"/>
      <c r="T31" s="9"/>
      <c r="U31" s="9"/>
      <c r="V31" s="9"/>
      <c r="W31" s="9"/>
    </row>
    <row r="32" spans="1:56" ht="15.75" x14ac:dyDescent="0.25">
      <c r="A32" s="9"/>
      <c r="B32" s="9"/>
      <c r="C32" s="19"/>
      <c r="D32" s="9"/>
      <c r="E32" s="19"/>
      <c r="F32" s="9"/>
      <c r="G32" s="9"/>
      <c r="H32" s="9"/>
      <c r="I32" s="9"/>
      <c r="J32" s="9"/>
      <c r="K32" s="9"/>
      <c r="L32" s="19"/>
      <c r="M32" s="19"/>
      <c r="N32" s="9"/>
      <c r="O32" s="19"/>
      <c r="P32" s="17" t="s">
        <v>42</v>
      </c>
      <c r="Q32" s="23">
        <f ca="1">STDEV(INDIRECT(ADDRESS(ROW(O8)+L2/5,O7)):INDIRECT(ADDRESS(ROW(O8)+L3/5,O7)))/STDEV(INDIRECT(ADDRESS(ROW(P8)+L2/5,P7)):INDIRECT(ADDRESS(ROW(P8)+L3/5,P7)))</f>
        <v>0.89561682260087871</v>
      </c>
      <c r="R32" s="9"/>
      <c r="S32" s="9"/>
      <c r="T32" s="9"/>
      <c r="U32" s="9"/>
      <c r="V32" s="9"/>
      <c r="W32" s="9"/>
    </row>
    <row r="33" spans="1:42" ht="15.75" x14ac:dyDescent="0.25">
      <c r="A33" s="9"/>
      <c r="B33" s="9"/>
      <c r="C33" s="19"/>
      <c r="D33" s="9"/>
      <c r="E33" s="19"/>
      <c r="F33" s="9"/>
      <c r="G33" s="9"/>
      <c r="H33" s="9"/>
      <c r="I33" s="9"/>
      <c r="J33" s="9"/>
      <c r="K33" s="9"/>
      <c r="L33" s="19"/>
      <c r="M33" s="19"/>
      <c r="N33" s="9"/>
      <c r="O33" s="19"/>
      <c r="P33" s="9" t="s">
        <v>44</v>
      </c>
      <c r="Q33" s="9">
        <f ca="1">1/Q32</f>
        <v>1.1165489244563225</v>
      </c>
      <c r="R33" s="9"/>
      <c r="S33" s="9"/>
      <c r="T33" s="9"/>
      <c r="U33" s="9"/>
      <c r="V33" s="9"/>
      <c r="W33" s="9"/>
    </row>
    <row r="34" spans="1:42" x14ac:dyDescent="0.2">
      <c r="B34" s="4"/>
      <c r="C34" s="4"/>
      <c r="D34" s="4"/>
      <c r="E34" s="4"/>
    </row>
    <row r="35" spans="1:42" x14ac:dyDescent="0.2">
      <c r="M35" s="5" t="str">
        <f>IF(C5=D5,"Completeness relative to midpoint population =","")</f>
        <v/>
      </c>
      <c r="Q35" s="6" t="str">
        <f>IF(C5=D5,Q32*EXP(Q27*(G2-C2)),"")</f>
        <v/>
      </c>
    </row>
    <row r="36" spans="1:42" x14ac:dyDescent="0.2">
      <c r="M36" s="5" t="str">
        <f>IF(C5=D5,"Annual growth rate of stable population =","")</f>
        <v/>
      </c>
      <c r="Q36" s="8" t="str">
        <f>IF(C5=D5,Q27,"")</f>
        <v/>
      </c>
    </row>
    <row r="37" spans="1:42" ht="15" x14ac:dyDescent="0.25">
      <c r="AH37" s="2"/>
      <c r="AI37" s="2"/>
      <c r="AJ37" s="1"/>
      <c r="AK37" s="1"/>
      <c r="AL37" s="3"/>
      <c r="AM37" s="1"/>
      <c r="AN37" s="1"/>
      <c r="AO37" s="1"/>
      <c r="AP37" s="1"/>
    </row>
    <row r="38" spans="1:42" ht="15" x14ac:dyDescent="0.25">
      <c r="AH38" s="2"/>
      <c r="AI38" s="2"/>
      <c r="AJ38" s="1"/>
      <c r="AK38" s="1"/>
      <c r="AL38" s="3"/>
      <c r="AM38" s="1"/>
      <c r="AN38" s="1"/>
      <c r="AO38" s="1"/>
      <c r="AP38" s="1"/>
    </row>
  </sheetData>
  <dataValidations count="1">
    <dataValidation type="list" allowBlank="1" showInputMessage="1" showErrorMessage="1" sqref="C3">
      <formula1>$BC$8:$BD$8</formula1>
    </dataValidation>
  </dataValidation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S27" sqref="S27"/>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Method</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Kirill</cp:lastModifiedBy>
  <dcterms:created xsi:type="dcterms:W3CDTF">2011-09-04T06:06:40Z</dcterms:created>
  <dcterms:modified xsi:type="dcterms:W3CDTF">2012-11-11T15:09:11Z</dcterms:modified>
</cp:coreProperties>
</file>